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0.xml" ContentType="application/vnd.openxmlformats-officedocument.spreadsheetml.table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hidePivotFieldList="1" autoCompressPictures="0"/>
  <bookViews>
    <workbookView xWindow="0" yWindow="0" windowWidth="20730" windowHeight="9195" firstSheet="4" activeTab="11"/>
  </bookViews>
  <sheets>
    <sheet name="Transactions" sheetId="13" r:id="rId1"/>
    <sheet name="Working Cash Flow" sheetId="19" r:id="rId2"/>
    <sheet name="Miles" sheetId="51" r:id="rId3"/>
    <sheet name="Customers" sheetId="56" r:id="rId4"/>
    <sheet name="Vendors" sheetId="35" r:id="rId5"/>
    <sheet name="Schedule C (P&amp;L)" sheetId="22" r:id="rId6"/>
    <sheet name="Cost of Goods Sold" sheetId="16" r:id="rId7"/>
    <sheet name="Schedule SE" sheetId="21" r:id="rId8"/>
    <sheet name="IRS Mileage" sheetId="20" state="hidden" r:id="rId9"/>
    <sheet name="2022 Forecast" sheetId="25" r:id="rId10"/>
    <sheet name="2023 Forecast" sheetId="62" r:id="rId11"/>
    <sheet name="Forecast Year 3" sheetId="29" r:id="rId12"/>
    <sheet name="Amortization Schedule" sheetId="30" r:id="rId13"/>
    <sheet name="Starting Inventory" sheetId="57" r:id="rId14"/>
    <sheet name="Insurance" sheetId="58" r:id="rId15"/>
    <sheet name="Licenses" sheetId="59" r:id="rId16"/>
    <sheet name="Capital Purchases" sheetId="60" r:id="rId17"/>
    <sheet name="Employees" sheetId="61" r:id="rId18"/>
    <sheet name="Forecasting" sheetId="64" r:id="rId19"/>
    <sheet name="Classifications" sheetId="15" state="hidden" r:id="rId20"/>
  </sheets>
  <definedNames>
    <definedName name="_xlnm._FilterDatabase" localSheetId="3" hidden="1">Customers!$A$3:$H$19</definedName>
    <definedName name="_xlnm._FilterDatabase" localSheetId="2" hidden="1">Miles!$A$3:$H$19</definedName>
    <definedName name="_xlnm._FilterDatabase" localSheetId="0" hidden="1">Transactions!$A$3:$H$19</definedName>
    <definedName name="_xlcn.WorksheetConnection_CashFlowRecords.xlsxLedger1" hidden="1">Ledger[]</definedName>
    <definedName name="AccountLookup" localSheetId="10">#REF!</definedName>
    <definedName name="AccountLookup" localSheetId="3">#REF!</definedName>
    <definedName name="AccountLookup" localSheetId="11">#REF!</definedName>
    <definedName name="AccountLookup" localSheetId="2">#REF!</definedName>
    <definedName name="AccountLookup" localSheetId="0">#REF!</definedName>
    <definedName name="AccountLookup">#REF!</definedName>
    <definedName name="Expenses" localSheetId="10">#REF!</definedName>
    <definedName name="Expenses" localSheetId="3">#REF!</definedName>
    <definedName name="Expenses" localSheetId="11">#REF!</definedName>
    <definedName name="Expenses" localSheetId="2">#REF!</definedName>
    <definedName name="Expenses">#REF!</definedName>
    <definedName name="InventoryMethod">Classifications!$A$41:$A$43</definedName>
    <definedName name="InvetoryMethod">Classifications!$A$41:$A$43</definedName>
    <definedName name="List">Classifications!$A$5:$A$28</definedName>
    <definedName name="Loan_Amount">'Amortization Schedule'!$C$5</definedName>
    <definedName name="Loan_Term">'Amortization Schedule'!$C$9</definedName>
    <definedName name="LoanAmount">'Amortization Schedule'!$C$8</definedName>
    <definedName name="MileageRate" localSheetId="10">#REF!</definedName>
    <definedName name="MileageRate" localSheetId="3">#REF!</definedName>
    <definedName name="MileageRate" localSheetId="11">#REF!</definedName>
    <definedName name="MileageRate" localSheetId="2">#REF!</definedName>
    <definedName name="MileageRate" localSheetId="0">#REF!</definedName>
    <definedName name="MileageRate">#REF!</definedName>
    <definedName name="Payment">'Amortization Schedule'!$C$11</definedName>
    <definedName name="Periods">Classifications!$B$49:$M$49</definedName>
    <definedName name="Rate">'Amortization Schedule'!$C$10</definedName>
    <definedName name="Total_Cost">'Amortization Schedule'!$F$10</definedName>
    <definedName name="Total_Interest">'Amortization Schedule'!$F$5</definedName>
    <definedName name="Total_Principal">'Amortization Schedule'!$F$9</definedName>
    <definedName name="YesNo">Classifications!$A$45:$A$47</definedName>
    <definedName name="YesNo?">Classifications!$A$45:$A$48</definedName>
  </definedNames>
  <calcPr calcId="124519"/>
  <webPublishing codePage="1252"/>
  <extLst xmlns:x15="http://schemas.microsoft.com/office/spreadsheetml/2010/11/main">
    <ext uri="{FCE2AD5D-F65C-4FA6-A056-5C36A1767C68}">
      <x15:dataModel>
        <x15:modelTables>
          <x15:modelTable id="Ledger" name="Ledger" connection="WorksheetConnection_Cash Flow &amp; Records.xlsx!Ledger"/>
        </x15:modelTables>
        <x15:extLst>
          <ext xmlns:x16="http://schemas.microsoft.com/office/spreadsheetml/2014/11/main" uri="{9835A34E-60A6-4A7C-AAB8-D5F71C897F49}">
            <x16:modelTimeGroupings>
              <x16:modelTimeGrouping tableName="Ledger" columnName="Date" columnId="Date"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C5" i="51"/>
  <c r="A5"/>
  <c r="D6" i="25" l="1" a="1"/>
  <c r="F6" s="1"/>
  <c r="C14" i="64"/>
  <c r="C15"/>
  <c r="C16"/>
  <c r="C17"/>
  <c r="C18"/>
  <c r="C19"/>
  <c r="C20"/>
  <c r="C21"/>
  <c r="C22"/>
  <c r="C23"/>
  <c r="C24"/>
  <c r="C25"/>
  <c r="D14"/>
  <c r="D15"/>
  <c r="D16"/>
  <c r="D17"/>
  <c r="D18"/>
  <c r="D19"/>
  <c r="D20"/>
  <c r="D21"/>
  <c r="D22"/>
  <c r="D23"/>
  <c r="D24"/>
  <c r="D25"/>
  <c r="E34" i="25"/>
  <c r="F34"/>
  <c r="G34"/>
  <c r="H34"/>
  <c r="I34"/>
  <c r="J34"/>
  <c r="K34"/>
  <c r="L34"/>
  <c r="M34"/>
  <c r="N34"/>
  <c r="O34"/>
  <c r="D16" i="62"/>
  <c r="D14"/>
  <c r="E14"/>
  <c r="F14"/>
  <c r="G14"/>
  <c r="H14"/>
  <c r="I14"/>
  <c r="J14"/>
  <c r="K14"/>
  <c r="L14"/>
  <c r="M14"/>
  <c r="N14"/>
  <c r="C14"/>
  <c r="C6"/>
  <c r="C10"/>
  <c r="C12"/>
  <c r="C16"/>
  <c r="C24"/>
  <c r="C34"/>
  <c r="C7" i="30"/>
  <c r="C8" s="1"/>
  <c r="D10" i="62"/>
  <c r="D12"/>
  <c r="D24"/>
  <c r="E10"/>
  <c r="E12"/>
  <c r="E16"/>
  <c r="E24"/>
  <c r="F6"/>
  <c r="F10"/>
  <c r="F12"/>
  <c r="F16"/>
  <c r="F24"/>
  <c r="G6"/>
  <c r="G10"/>
  <c r="G12"/>
  <c r="G16"/>
  <c r="G24"/>
  <c r="H10"/>
  <c r="H12"/>
  <c r="H16"/>
  <c r="H24"/>
  <c r="I6"/>
  <c r="I10"/>
  <c r="I12"/>
  <c r="I16"/>
  <c r="I24"/>
  <c r="J6"/>
  <c r="J10"/>
  <c r="J12"/>
  <c r="J16"/>
  <c r="J24"/>
  <c r="K10"/>
  <c r="K12"/>
  <c r="K16"/>
  <c r="K24"/>
  <c r="L10"/>
  <c r="L12"/>
  <c r="L16"/>
  <c r="L24"/>
  <c r="M6"/>
  <c r="M10"/>
  <c r="M12"/>
  <c r="M16"/>
  <c r="M24"/>
  <c r="N6"/>
  <c r="N10"/>
  <c r="N12"/>
  <c r="N16"/>
  <c r="N24"/>
  <c r="A1"/>
  <c r="E16" i="25"/>
  <c r="F16"/>
  <c r="G16"/>
  <c r="H16"/>
  <c r="I16"/>
  <c r="J16"/>
  <c r="K16"/>
  <c r="L16"/>
  <c r="M16"/>
  <c r="N16"/>
  <c r="O16"/>
  <c r="E10"/>
  <c r="F10"/>
  <c r="G10"/>
  <c r="H10"/>
  <c r="I10"/>
  <c r="J10"/>
  <c r="K10"/>
  <c r="L10"/>
  <c r="M10"/>
  <c r="N10"/>
  <c r="O10"/>
  <c r="I15"/>
  <c r="M15"/>
  <c r="E24"/>
  <c r="F24"/>
  <c r="G24"/>
  <c r="H24"/>
  <c r="I24"/>
  <c r="J24"/>
  <c r="K24"/>
  <c r="L24"/>
  <c r="M24"/>
  <c r="N24"/>
  <c r="O24"/>
  <c r="E3" i="57"/>
  <c r="E4"/>
  <c r="E5"/>
  <c r="E6"/>
  <c r="B7"/>
  <c r="D3"/>
  <c r="D4"/>
  <c r="D5"/>
  <c r="D6"/>
  <c r="D7"/>
  <c r="H7" i="62" s="1"/>
  <c r="H8" s="1"/>
  <c r="D34" i="25"/>
  <c r="D3" i="61"/>
  <c r="D4"/>
  <c r="D5"/>
  <c r="D6"/>
  <c r="D16" i="25"/>
  <c r="D10"/>
  <c r="C10"/>
  <c r="C16"/>
  <c r="D9" i="60"/>
  <c r="D8"/>
  <c r="D7"/>
  <c r="D6"/>
  <c r="D3"/>
  <c r="D4"/>
  <c r="D5"/>
  <c r="D24" i="25"/>
  <c r="C24"/>
  <c r="B5" i="59"/>
  <c r="C22" i="25" s="1"/>
  <c r="B10" i="58"/>
  <c r="H15" i="62" s="1"/>
  <c r="C7" i="25"/>
  <c r="C8" s="1"/>
  <c r="I4" i="51"/>
  <c r="J4" s="1"/>
  <c r="H4"/>
  <c r="G5"/>
  <c r="I5"/>
  <c r="A1" i="30"/>
  <c r="N31" i="29"/>
  <c r="M31"/>
  <c r="L31"/>
  <c r="K31"/>
  <c r="J31"/>
  <c r="D31"/>
  <c r="N28"/>
  <c r="M28"/>
  <c r="L28"/>
  <c r="K28"/>
  <c r="J28"/>
  <c r="I28"/>
  <c r="I31" s="1"/>
  <c r="H28"/>
  <c r="H31" s="1"/>
  <c r="G28"/>
  <c r="G31" s="1"/>
  <c r="G33" s="1"/>
  <c r="F28"/>
  <c r="F31" s="1"/>
  <c r="E28"/>
  <c r="E31" s="1"/>
  <c r="D28"/>
  <c r="C28"/>
  <c r="C31" s="1"/>
  <c r="N8"/>
  <c r="M8"/>
  <c r="L8"/>
  <c r="K8"/>
  <c r="J8"/>
  <c r="I8"/>
  <c r="H8"/>
  <c r="G8"/>
  <c r="F8"/>
  <c r="E8"/>
  <c r="D8"/>
  <c r="C8"/>
  <c r="A1"/>
  <c r="A1" i="25"/>
  <c r="A1" i="20"/>
  <c r="A1" i="21"/>
  <c r="B10" i="16"/>
  <c r="B12" s="1"/>
  <c r="A1"/>
  <c r="B3" i="20"/>
  <c r="B5"/>
  <c r="I4" i="13"/>
  <c r="N10" i="19" s="1"/>
  <c r="N37"/>
  <c r="N18"/>
  <c r="F6"/>
  <c r="I11"/>
  <c r="E22"/>
  <c r="E30"/>
  <c r="M32"/>
  <c r="J11"/>
  <c r="F14"/>
  <c r="F22"/>
  <c r="N24"/>
  <c r="J27"/>
  <c r="F30"/>
  <c r="N32"/>
  <c r="E39"/>
  <c r="I7"/>
  <c r="E12"/>
  <c r="M14"/>
  <c r="I17"/>
  <c r="E20"/>
  <c r="M22"/>
  <c r="I25"/>
  <c r="E28"/>
  <c r="M30"/>
  <c r="I36"/>
  <c r="M39"/>
  <c r="J4" i="13"/>
  <c r="J7" i="19"/>
  <c r="J8" s="1"/>
  <c r="F12"/>
  <c r="N14"/>
  <c r="J17"/>
  <c r="F20"/>
  <c r="N22"/>
  <c r="J25"/>
  <c r="F28"/>
  <c r="N30"/>
  <c r="J36"/>
  <c r="E10"/>
  <c r="M12"/>
  <c r="I15"/>
  <c r="E18"/>
  <c r="M20"/>
  <c r="I23"/>
  <c r="E26"/>
  <c r="M28"/>
  <c r="I31"/>
  <c r="E37"/>
  <c r="F10"/>
  <c r="N12"/>
  <c r="J15"/>
  <c r="F18"/>
  <c r="N20"/>
  <c r="J23"/>
  <c r="F26"/>
  <c r="N28"/>
  <c r="J31"/>
  <c r="F37"/>
  <c r="E6"/>
  <c r="M10"/>
  <c r="I13"/>
  <c r="E16"/>
  <c r="M18"/>
  <c r="I21"/>
  <c r="E24"/>
  <c r="M26"/>
  <c r="I29"/>
  <c r="E32"/>
  <c r="B39" i="22"/>
  <c r="B5"/>
  <c r="B7" s="1"/>
  <c r="B9" s="1"/>
  <c r="N39" i="19"/>
  <c r="G6"/>
  <c r="C7"/>
  <c r="K7"/>
  <c r="G10"/>
  <c r="C11"/>
  <c r="K11"/>
  <c r="G12"/>
  <c r="C13"/>
  <c r="K13"/>
  <c r="G14"/>
  <c r="C15"/>
  <c r="K15"/>
  <c r="G16"/>
  <c r="C17"/>
  <c r="O17" s="1"/>
  <c r="K17"/>
  <c r="G18"/>
  <c r="C19"/>
  <c r="K19"/>
  <c r="G20"/>
  <c r="C21"/>
  <c r="K21"/>
  <c r="G22"/>
  <c r="O22" s="1"/>
  <c r="C23"/>
  <c r="K23"/>
  <c r="G24"/>
  <c r="C25"/>
  <c r="K25"/>
  <c r="G26"/>
  <c r="C27"/>
  <c r="K27"/>
  <c r="G28"/>
  <c r="C29"/>
  <c r="K29"/>
  <c r="G30"/>
  <c r="C31"/>
  <c r="K31"/>
  <c r="G32"/>
  <c r="C36"/>
  <c r="O36" s="1"/>
  <c r="K36"/>
  <c r="G37"/>
  <c r="C38"/>
  <c r="K38"/>
  <c r="G39"/>
  <c r="H6"/>
  <c r="D7"/>
  <c r="L7"/>
  <c r="L8" s="1"/>
  <c r="H10"/>
  <c r="D11"/>
  <c r="L11"/>
  <c r="H12"/>
  <c r="H33" s="1"/>
  <c r="D13"/>
  <c r="L13"/>
  <c r="H14"/>
  <c r="D15"/>
  <c r="L15"/>
  <c r="H16"/>
  <c r="D17"/>
  <c r="L17"/>
  <c r="H18"/>
  <c r="D19"/>
  <c r="L19"/>
  <c r="H20"/>
  <c r="D21"/>
  <c r="L21"/>
  <c r="H22"/>
  <c r="D23"/>
  <c r="O23" s="1"/>
  <c r="L23"/>
  <c r="H24"/>
  <c r="D25"/>
  <c r="L25"/>
  <c r="H26"/>
  <c r="D27"/>
  <c r="L27"/>
  <c r="H28"/>
  <c r="D29"/>
  <c r="L29"/>
  <c r="H30"/>
  <c r="D31"/>
  <c r="L31"/>
  <c r="H32"/>
  <c r="D36"/>
  <c r="L36"/>
  <c r="H37"/>
  <c r="D38"/>
  <c r="L38"/>
  <c r="H39"/>
  <c r="F39"/>
  <c r="I6"/>
  <c r="M7"/>
  <c r="E11"/>
  <c r="O11" s="1"/>
  <c r="I12"/>
  <c r="E13"/>
  <c r="M13"/>
  <c r="I14"/>
  <c r="E15"/>
  <c r="M15"/>
  <c r="I16"/>
  <c r="E17"/>
  <c r="M17"/>
  <c r="I18"/>
  <c r="E19"/>
  <c r="M19"/>
  <c r="I20"/>
  <c r="E21"/>
  <c r="M21"/>
  <c r="I22"/>
  <c r="E23"/>
  <c r="M23"/>
  <c r="I24"/>
  <c r="E25"/>
  <c r="M25"/>
  <c r="I26"/>
  <c r="E27"/>
  <c r="M27"/>
  <c r="I28"/>
  <c r="E29"/>
  <c r="M29"/>
  <c r="I30"/>
  <c r="E31"/>
  <c r="M31"/>
  <c r="I32"/>
  <c r="E36"/>
  <c r="M36"/>
  <c r="I37"/>
  <c r="E38"/>
  <c r="M38"/>
  <c r="I39"/>
  <c r="E7"/>
  <c r="I10"/>
  <c r="M11"/>
  <c r="J6"/>
  <c r="F7"/>
  <c r="F8"/>
  <c r="N7"/>
  <c r="J10"/>
  <c r="F11"/>
  <c r="N11"/>
  <c r="J12"/>
  <c r="F13"/>
  <c r="N13"/>
  <c r="J14"/>
  <c r="F15"/>
  <c r="N15"/>
  <c r="J16"/>
  <c r="F17"/>
  <c r="N17"/>
  <c r="J18"/>
  <c r="F19"/>
  <c r="N19"/>
  <c r="J20"/>
  <c r="F21"/>
  <c r="N21"/>
  <c r="J22"/>
  <c r="F23"/>
  <c r="N23"/>
  <c r="J24"/>
  <c r="F25"/>
  <c r="N25"/>
  <c r="J26"/>
  <c r="F27"/>
  <c r="N27"/>
  <c r="J28"/>
  <c r="F29"/>
  <c r="N29"/>
  <c r="J30"/>
  <c r="F31"/>
  <c r="N31"/>
  <c r="J32"/>
  <c r="F36"/>
  <c r="N36"/>
  <c r="J37"/>
  <c r="F38"/>
  <c r="N38"/>
  <c r="J39"/>
  <c r="J38"/>
  <c r="K6"/>
  <c r="C10"/>
  <c r="K10"/>
  <c r="K33" s="1"/>
  <c r="K35" s="1"/>
  <c r="K40" s="1"/>
  <c r="G11"/>
  <c r="C12"/>
  <c r="K12"/>
  <c r="G13"/>
  <c r="C14"/>
  <c r="K14"/>
  <c r="G15"/>
  <c r="C16"/>
  <c r="C33" s="1"/>
  <c r="K16"/>
  <c r="G17"/>
  <c r="C18"/>
  <c r="K18"/>
  <c r="G19"/>
  <c r="C20"/>
  <c r="K20"/>
  <c r="G21"/>
  <c r="C22"/>
  <c r="K22"/>
  <c r="G23"/>
  <c r="C24"/>
  <c r="K24"/>
  <c r="G25"/>
  <c r="C26"/>
  <c r="K26"/>
  <c r="G27"/>
  <c r="C28"/>
  <c r="K28"/>
  <c r="G29"/>
  <c r="C30"/>
  <c r="K30"/>
  <c r="G31"/>
  <c r="C32"/>
  <c r="K32"/>
  <c r="G36"/>
  <c r="C37"/>
  <c r="K37"/>
  <c r="G38"/>
  <c r="C39"/>
  <c r="K39"/>
  <c r="C6"/>
  <c r="C8" s="1"/>
  <c r="G7"/>
  <c r="D6"/>
  <c r="L6"/>
  <c r="H7"/>
  <c r="H8" s="1"/>
  <c r="D10"/>
  <c r="L10"/>
  <c r="H11"/>
  <c r="D12"/>
  <c r="O12" s="1"/>
  <c r="L12"/>
  <c r="H13"/>
  <c r="D14"/>
  <c r="L14"/>
  <c r="H15"/>
  <c r="D16"/>
  <c r="L16"/>
  <c r="H17"/>
  <c r="D18"/>
  <c r="O18" s="1"/>
  <c r="L18"/>
  <c r="H19"/>
  <c r="D20"/>
  <c r="O20" s="1"/>
  <c r="L20"/>
  <c r="H21"/>
  <c r="D22"/>
  <c r="L22"/>
  <c r="H23"/>
  <c r="D24"/>
  <c r="L24"/>
  <c r="H25"/>
  <c r="D26"/>
  <c r="L26"/>
  <c r="H27"/>
  <c r="D28"/>
  <c r="L28"/>
  <c r="H29"/>
  <c r="D30"/>
  <c r="L30"/>
  <c r="H31"/>
  <c r="D32"/>
  <c r="L32"/>
  <c r="H36"/>
  <c r="D37"/>
  <c r="L37"/>
  <c r="H38"/>
  <c r="D39"/>
  <c r="E8"/>
  <c r="I8"/>
  <c r="K8"/>
  <c r="D8"/>
  <c r="O30"/>
  <c r="O15"/>
  <c r="G33"/>
  <c r="G35" s="1"/>
  <c r="G40" s="1"/>
  <c r="G8"/>
  <c r="O25"/>
  <c r="C4" i="29"/>
  <c r="H35" i="19" l="1"/>
  <c r="H40" s="1"/>
  <c r="D10" i="60"/>
  <c r="C37" i="25" s="1"/>
  <c r="L33" i="62" s="1"/>
  <c r="D7" i="61"/>
  <c r="E7" i="57"/>
  <c r="O28" i="19"/>
  <c r="L33"/>
  <c r="L35" s="1"/>
  <c r="D33"/>
  <c r="D35" s="1"/>
  <c r="D40" s="1"/>
  <c r="G6" i="25"/>
  <c r="G12" s="1"/>
  <c r="O31" i="19"/>
  <c r="E15" i="25"/>
  <c r="K15" i="62"/>
  <c r="K6" i="25"/>
  <c r="K12" s="1"/>
  <c r="O6"/>
  <c r="O12" s="1"/>
  <c r="F25" i="62"/>
  <c r="J25"/>
  <c r="M25"/>
  <c r="L25" i="25"/>
  <c r="H25"/>
  <c r="D25"/>
  <c r="H25" i="62"/>
  <c r="M25" i="25"/>
  <c r="I25"/>
  <c r="E25"/>
  <c r="E25" i="62"/>
  <c r="G25"/>
  <c r="I25"/>
  <c r="L25"/>
  <c r="N25"/>
  <c r="N25" i="25"/>
  <c r="J25"/>
  <c r="F25"/>
  <c r="C25" i="62"/>
  <c r="D25"/>
  <c r="K25"/>
  <c r="O25" i="25"/>
  <c r="K25"/>
  <c r="G25"/>
  <c r="C36"/>
  <c r="C39" s="1"/>
  <c r="C41" s="1"/>
  <c r="D4" s="1"/>
  <c r="C11" i="30"/>
  <c r="F12" i="25"/>
  <c r="C35" i="19"/>
  <c r="O10"/>
  <c r="I19"/>
  <c r="M6"/>
  <c r="M8" s="1"/>
  <c r="N26"/>
  <c r="O26" s="1"/>
  <c r="J13"/>
  <c r="F32"/>
  <c r="O32" s="1"/>
  <c r="D7" i="25"/>
  <c r="L7"/>
  <c r="J7"/>
  <c r="L15"/>
  <c r="H15"/>
  <c r="M15" i="62"/>
  <c r="M7"/>
  <c r="M8" s="1"/>
  <c r="J15"/>
  <c r="J7"/>
  <c r="J8" s="1"/>
  <c r="F15"/>
  <c r="F7"/>
  <c r="F8" s="1"/>
  <c r="F7" i="25"/>
  <c r="F8" s="1"/>
  <c r="I7"/>
  <c r="O7"/>
  <c r="O8" s="1"/>
  <c r="K7" i="62"/>
  <c r="K8" s="1"/>
  <c r="C15"/>
  <c r="C7"/>
  <c r="C8" s="1"/>
  <c r="L6" i="25"/>
  <c r="H6"/>
  <c r="D6"/>
  <c r="N16" i="19"/>
  <c r="N33" s="1"/>
  <c r="I38"/>
  <c r="O38" s="1"/>
  <c r="M24"/>
  <c r="E14"/>
  <c r="J29"/>
  <c r="O29" s="1"/>
  <c r="J21"/>
  <c r="O21" s="1"/>
  <c r="L39"/>
  <c r="O39" s="1"/>
  <c r="M37"/>
  <c r="O37" s="1"/>
  <c r="D15" i="25"/>
  <c r="E7"/>
  <c r="H7"/>
  <c r="N7"/>
  <c r="N15"/>
  <c r="J15"/>
  <c r="F15"/>
  <c r="N15" i="62"/>
  <c r="N7"/>
  <c r="N8" s="1"/>
  <c r="L15"/>
  <c r="L7"/>
  <c r="L8" s="1"/>
  <c r="I15"/>
  <c r="I7"/>
  <c r="I8" s="1"/>
  <c r="G15"/>
  <c r="G7"/>
  <c r="G8" s="1"/>
  <c r="E15"/>
  <c r="E7"/>
  <c r="E8" s="1"/>
  <c r="D15"/>
  <c r="D7"/>
  <c r="D8" s="1"/>
  <c r="M6" i="25"/>
  <c r="I6"/>
  <c r="E6"/>
  <c r="J19" i="19"/>
  <c r="N6"/>
  <c r="N8" s="1"/>
  <c r="I27"/>
  <c r="O27" s="1"/>
  <c r="M16"/>
  <c r="F24"/>
  <c r="O24" s="1"/>
  <c r="F16"/>
  <c r="C15" i="25"/>
  <c r="C30" s="1"/>
  <c r="C32" s="1"/>
  <c r="C43" s="1"/>
  <c r="G7"/>
  <c r="G8" s="1"/>
  <c r="M7"/>
  <c r="K7"/>
  <c r="K8" s="1"/>
  <c r="O15"/>
  <c r="K15"/>
  <c r="G15"/>
  <c r="N6"/>
  <c r="J6"/>
  <c r="N33" i="29"/>
  <c r="M33"/>
  <c r="L33"/>
  <c r="L44" s="1"/>
  <c r="K33"/>
  <c r="J33"/>
  <c r="J44" s="1"/>
  <c r="I33"/>
  <c r="H33"/>
  <c r="H44" s="1"/>
  <c r="G44"/>
  <c r="F33"/>
  <c r="F44" s="1"/>
  <c r="E33"/>
  <c r="D33"/>
  <c r="C33"/>
  <c r="C44" i="25"/>
  <c r="B40" i="22"/>
  <c r="B42" s="1"/>
  <c r="B3" i="21" s="1"/>
  <c r="B4" s="1"/>
  <c r="B6" s="1"/>
  <c r="M33" i="19" l="1"/>
  <c r="O8"/>
  <c r="N12" i="25"/>
  <c r="N8"/>
  <c r="J12"/>
  <c r="J8"/>
  <c r="I12"/>
  <c r="I8"/>
  <c r="L12"/>
  <c r="L8"/>
  <c r="C40" i="19"/>
  <c r="C42" s="1"/>
  <c r="D4" s="1"/>
  <c r="D42" s="1"/>
  <c r="E4" s="1"/>
  <c r="K29" i="62"/>
  <c r="K28"/>
  <c r="K27"/>
  <c r="J29" i="25"/>
  <c r="J28"/>
  <c r="J27"/>
  <c r="I28" i="62"/>
  <c r="I27"/>
  <c r="I29"/>
  <c r="I27" i="25"/>
  <c r="I29"/>
  <c r="I28"/>
  <c r="H28"/>
  <c r="H27"/>
  <c r="H29"/>
  <c r="F29" i="62"/>
  <c r="F28"/>
  <c r="F27"/>
  <c r="F30"/>
  <c r="F32" s="1"/>
  <c r="L40" i="19"/>
  <c r="E12" i="25"/>
  <c r="E8"/>
  <c r="H12"/>
  <c r="H30" s="1"/>
  <c r="H32" s="1"/>
  <c r="H8"/>
  <c r="J33" i="19"/>
  <c r="J35" s="1"/>
  <c r="J40" s="1"/>
  <c r="O13"/>
  <c r="G38" i="25"/>
  <c r="K38"/>
  <c r="O38"/>
  <c r="N39" i="29"/>
  <c r="I39"/>
  <c r="E39"/>
  <c r="E40" s="1"/>
  <c r="J39"/>
  <c r="E38" i="62"/>
  <c r="G38"/>
  <c r="I38"/>
  <c r="L38"/>
  <c r="N38"/>
  <c r="F38" i="25"/>
  <c r="J38"/>
  <c r="N38"/>
  <c r="H39" i="29"/>
  <c r="M39"/>
  <c r="C39"/>
  <c r="C40" s="1"/>
  <c r="C42" s="1"/>
  <c r="D4" s="1"/>
  <c r="C38" i="62"/>
  <c r="D38"/>
  <c r="K38"/>
  <c r="E38" i="25"/>
  <c r="I38"/>
  <c r="M38"/>
  <c r="G39" i="29"/>
  <c r="F9" i="30"/>
  <c r="K39" i="29"/>
  <c r="K40" s="1"/>
  <c r="F38" i="62"/>
  <c r="H38"/>
  <c r="J38"/>
  <c r="M38"/>
  <c r="D38" i="25"/>
  <c r="H38"/>
  <c r="L38"/>
  <c r="F39" i="29"/>
  <c r="F5" i="30"/>
  <c r="D39" i="29"/>
  <c r="O29" i="25"/>
  <c r="O28"/>
  <c r="O27"/>
  <c r="F29"/>
  <c r="F28"/>
  <c r="F27"/>
  <c r="L28" i="62"/>
  <c r="L27"/>
  <c r="L30" s="1"/>
  <c r="L32" s="1"/>
  <c r="L29"/>
  <c r="E27" i="25"/>
  <c r="E29"/>
  <c r="E28"/>
  <c r="D28"/>
  <c r="D27"/>
  <c r="D29"/>
  <c r="J29" i="62"/>
  <c r="J28"/>
  <c r="J27"/>
  <c r="M40" i="29"/>
  <c r="D40"/>
  <c r="N40"/>
  <c r="D12" i="25"/>
  <c r="D8"/>
  <c r="O19" i="19"/>
  <c r="I33"/>
  <c r="I35" s="1"/>
  <c r="I40" s="1"/>
  <c r="K29" i="25"/>
  <c r="K28"/>
  <c r="K27"/>
  <c r="K30" s="1"/>
  <c r="K32" s="1"/>
  <c r="C29" i="62"/>
  <c r="C28"/>
  <c r="C27"/>
  <c r="N28"/>
  <c r="N27"/>
  <c r="N29"/>
  <c r="E28"/>
  <c r="E27"/>
  <c r="E29"/>
  <c r="H27"/>
  <c r="H29"/>
  <c r="H28"/>
  <c r="M29"/>
  <c r="M28"/>
  <c r="M27"/>
  <c r="I45" i="29"/>
  <c r="C30" i="62"/>
  <c r="C32" s="1"/>
  <c r="F33" i="19"/>
  <c r="F35" s="1"/>
  <c r="F40" s="1"/>
  <c r="O16"/>
  <c r="M12" i="25"/>
  <c r="M8"/>
  <c r="O14" i="19"/>
  <c r="E33"/>
  <c r="G29" i="25"/>
  <c r="G28"/>
  <c r="G27"/>
  <c r="D29" i="62"/>
  <c r="D28"/>
  <c r="D27"/>
  <c r="N29" i="25"/>
  <c r="N28"/>
  <c r="N27"/>
  <c r="G28" i="62"/>
  <c r="G27"/>
  <c r="G30" s="1"/>
  <c r="G32" s="1"/>
  <c r="G29"/>
  <c r="M27" i="25"/>
  <c r="M29"/>
  <c r="M28"/>
  <c r="L28"/>
  <c r="L27"/>
  <c r="L29"/>
  <c r="N35" i="19"/>
  <c r="N40" s="1"/>
  <c r="E30" i="62"/>
  <c r="E32" s="1"/>
  <c r="I30"/>
  <c r="I32" s="1"/>
  <c r="M35" i="19"/>
  <c r="M40" s="1"/>
  <c r="N45" i="29"/>
  <c r="N44"/>
  <c r="M45"/>
  <c r="M44"/>
  <c r="L45"/>
  <c r="L40"/>
  <c r="K45"/>
  <c r="K44"/>
  <c r="J40"/>
  <c r="J45"/>
  <c r="I44"/>
  <c r="I40"/>
  <c r="H45"/>
  <c r="H40"/>
  <c r="F45"/>
  <c r="F40"/>
  <c r="E45"/>
  <c r="E44"/>
  <c r="D44"/>
  <c r="D45"/>
  <c r="C44"/>
  <c r="C45"/>
  <c r="G30" i="25" l="1"/>
  <c r="G32" s="1"/>
  <c r="G39" s="1"/>
  <c r="G44" s="1"/>
  <c r="D30"/>
  <c r="D32" s="1"/>
  <c r="O30"/>
  <c r="O32" s="1"/>
  <c r="M30" i="62"/>
  <c r="M32" s="1"/>
  <c r="J30"/>
  <c r="J32" s="1"/>
  <c r="F30" i="25"/>
  <c r="F32" s="1"/>
  <c r="K30" i="62"/>
  <c r="K32" s="1"/>
  <c r="D42" i="29"/>
  <c r="E4" s="1"/>
  <c r="E42" s="1"/>
  <c r="F4" s="1"/>
  <c r="D30" i="62"/>
  <c r="D32" s="1"/>
  <c r="D44" s="1"/>
  <c r="N30"/>
  <c r="N32" s="1"/>
  <c r="N44" s="1"/>
  <c r="K39" i="25"/>
  <c r="K44" s="1"/>
  <c r="K43"/>
  <c r="D43" i="62"/>
  <c r="N43"/>
  <c r="N39"/>
  <c r="O43" i="25"/>
  <c r="O39"/>
  <c r="O44" s="1"/>
  <c r="G44" i="62"/>
  <c r="G43"/>
  <c r="G39"/>
  <c r="M39"/>
  <c r="M44"/>
  <c r="M43"/>
  <c r="J43"/>
  <c r="J39"/>
  <c r="J44"/>
  <c r="F39" i="25"/>
  <c r="F44" s="1"/>
  <c r="F43"/>
  <c r="C39" i="62"/>
  <c r="C44" s="1"/>
  <c r="C43"/>
  <c r="I44"/>
  <c r="I39"/>
  <c r="I43"/>
  <c r="D39" i="25"/>
  <c r="D43"/>
  <c r="M30"/>
  <c r="M32" s="1"/>
  <c r="H30" i="62"/>
  <c r="H32" s="1"/>
  <c r="E43"/>
  <c r="E44"/>
  <c r="E39"/>
  <c r="E35" i="19"/>
  <c r="O33"/>
  <c r="E30" i="25"/>
  <c r="L30"/>
  <c r="L32" s="1"/>
  <c r="J30"/>
  <c r="J32" s="1"/>
  <c r="G40" i="29"/>
  <c r="G45"/>
  <c r="F44" i="62"/>
  <c r="F39"/>
  <c r="F43"/>
  <c r="F10" i="30"/>
  <c r="B15" s="1"/>
  <c r="E32" i="25"/>
  <c r="L44" i="62"/>
  <c r="L43"/>
  <c r="L39"/>
  <c r="H39" i="25"/>
  <c r="H44" s="1"/>
  <c r="H43"/>
  <c r="K43" i="62"/>
  <c r="K39"/>
  <c r="K44"/>
  <c r="I30" i="25"/>
  <c r="I32" s="1"/>
  <c r="N30"/>
  <c r="N32" s="1"/>
  <c r="F42" i="29"/>
  <c r="G4" s="1"/>
  <c r="G42" s="1"/>
  <c r="H4" s="1"/>
  <c r="H42" s="1"/>
  <c r="I4" s="1"/>
  <c r="I42" s="1"/>
  <c r="J4" s="1"/>
  <c r="J42" s="1"/>
  <c r="K4" s="1"/>
  <c r="K42" s="1"/>
  <c r="L4" s="1"/>
  <c r="L42" s="1"/>
  <c r="M4" s="1"/>
  <c r="M42" s="1"/>
  <c r="N4" s="1"/>
  <c r="N42" s="1"/>
  <c r="D39" i="62" l="1"/>
  <c r="G43" i="25"/>
  <c r="L39"/>
  <c r="L44" s="1"/>
  <c r="L43"/>
  <c r="D44"/>
  <c r="D41"/>
  <c r="E4" s="1"/>
  <c r="I39"/>
  <c r="I44" s="1"/>
  <c r="I43"/>
  <c r="C15" i="30"/>
  <c r="N43" i="25"/>
  <c r="N39"/>
  <c r="N44" s="1"/>
  <c r="E43"/>
  <c r="E39"/>
  <c r="E44" s="1"/>
  <c r="M39"/>
  <c r="M44" s="1"/>
  <c r="M43"/>
  <c r="J39"/>
  <c r="J44" s="1"/>
  <c r="J43"/>
  <c r="E40" i="19"/>
  <c r="E42" s="1"/>
  <c r="F4" s="1"/>
  <c r="F42" s="1"/>
  <c r="G4" s="1"/>
  <c r="G42" s="1"/>
  <c r="H4" s="1"/>
  <c r="H42" s="1"/>
  <c r="I4" s="1"/>
  <c r="I42" s="1"/>
  <c r="J4" s="1"/>
  <c r="J42" s="1"/>
  <c r="K4" s="1"/>
  <c r="K42" s="1"/>
  <c r="L4" s="1"/>
  <c r="L42" s="1"/>
  <c r="M4" s="1"/>
  <c r="M42" s="1"/>
  <c r="N4" s="1"/>
  <c r="N42" s="1"/>
  <c r="O35"/>
  <c r="H43" i="62"/>
  <c r="H39"/>
  <c r="H44"/>
  <c r="O44" s="1"/>
  <c r="P44" i="25" l="1"/>
  <c r="D15" i="30"/>
  <c r="E15" s="1"/>
  <c r="F15" s="1"/>
  <c r="B16" s="1"/>
  <c r="E41" i="25"/>
  <c r="F4" s="1"/>
  <c r="F41" s="1"/>
  <c r="G4" s="1"/>
  <c r="G41" s="1"/>
  <c r="H4" s="1"/>
  <c r="H41" s="1"/>
  <c r="I4" s="1"/>
  <c r="I41" s="1"/>
  <c r="J4" s="1"/>
  <c r="J41" s="1"/>
  <c r="K4" s="1"/>
  <c r="K41" s="1"/>
  <c r="L4" s="1"/>
  <c r="L41" s="1"/>
  <c r="M4" s="1"/>
  <c r="M41" s="1"/>
  <c r="N4" s="1"/>
  <c r="N41" s="1"/>
  <c r="O4" s="1"/>
  <c r="O41" s="1"/>
  <c r="C16" i="30" l="1"/>
  <c r="P41" i="25"/>
  <c r="C4" i="62"/>
  <c r="C41" s="1"/>
  <c r="D4" s="1"/>
  <c r="D41" s="1"/>
  <c r="E4" s="1"/>
  <c r="E41" s="1"/>
  <c r="F4" s="1"/>
  <c r="F41" s="1"/>
  <c r="G4" s="1"/>
  <c r="G41" s="1"/>
  <c r="H4" s="1"/>
  <c r="H41" s="1"/>
  <c r="I4" s="1"/>
  <c r="I41" s="1"/>
  <c r="J4" s="1"/>
  <c r="J41" s="1"/>
  <c r="K4" s="1"/>
  <c r="K41" s="1"/>
  <c r="L4" s="1"/>
  <c r="L41" s="1"/>
  <c r="M4" s="1"/>
  <c r="M41" s="1"/>
  <c r="N4" s="1"/>
  <c r="N41" s="1"/>
  <c r="E16" i="30" l="1"/>
  <c r="F16" s="1"/>
  <c r="B17" s="1"/>
  <c r="D16"/>
  <c r="C17" l="1"/>
  <c r="E17" l="1"/>
  <c r="F17" s="1"/>
  <c r="B18" s="1"/>
  <c r="D17"/>
  <c r="C18" l="1"/>
  <c r="D18" l="1"/>
  <c r="E18" s="1"/>
  <c r="F18" s="1"/>
  <c r="B19" s="1"/>
  <c r="C19" l="1"/>
  <c r="D19" l="1"/>
  <c r="E19" s="1"/>
  <c r="F19" s="1"/>
  <c r="B20" s="1"/>
  <c r="C20" l="1"/>
  <c r="E20" l="1"/>
  <c r="F20" s="1"/>
  <c r="B21" s="1"/>
  <c r="D20"/>
  <c r="C21" l="1"/>
  <c r="E21" l="1"/>
  <c r="F21" s="1"/>
  <c r="B22" s="1"/>
  <c r="D21"/>
  <c r="C22" l="1"/>
  <c r="E22" l="1"/>
  <c r="F22" s="1"/>
  <c r="B23" s="1"/>
  <c r="D22"/>
  <c r="C23" l="1"/>
  <c r="E23" l="1"/>
  <c r="F23" s="1"/>
  <c r="B24" s="1"/>
  <c r="D23"/>
  <c r="C24" l="1"/>
  <c r="E24" l="1"/>
  <c r="F24" s="1"/>
  <c r="B25" s="1"/>
  <c r="D24"/>
  <c r="C25" l="1"/>
  <c r="E25" l="1"/>
  <c r="F25" s="1"/>
  <c r="B26" s="1"/>
  <c r="D25"/>
  <c r="C26" l="1"/>
  <c r="D26" l="1"/>
  <c r="E26" s="1"/>
  <c r="F26" s="1"/>
  <c r="B27" s="1"/>
  <c r="C27" l="1"/>
  <c r="E27" l="1"/>
  <c r="F27" s="1"/>
  <c r="B28" s="1"/>
  <c r="D27"/>
  <c r="C28" l="1"/>
  <c r="E28" l="1"/>
  <c r="F28" s="1"/>
  <c r="B29" s="1"/>
  <c r="D28"/>
  <c r="C29" l="1"/>
  <c r="D29" l="1"/>
  <c r="E29" s="1"/>
  <c r="F29" s="1"/>
  <c r="B30" s="1"/>
  <c r="C30" l="1"/>
  <c r="E30" l="1"/>
  <c r="F30" s="1"/>
  <c r="B31" s="1"/>
  <c r="D30"/>
  <c r="C31" l="1"/>
  <c r="D31" l="1"/>
  <c r="E31" s="1"/>
  <c r="F31" s="1"/>
  <c r="B32" s="1"/>
  <c r="C32" l="1"/>
  <c r="E32" l="1"/>
  <c r="F32" s="1"/>
  <c r="B33" s="1"/>
  <c r="D32"/>
  <c r="C33" l="1"/>
  <c r="E33" l="1"/>
  <c r="F33" s="1"/>
  <c r="B34" s="1"/>
  <c r="D33"/>
  <c r="C34" l="1"/>
  <c r="E34" l="1"/>
  <c r="F34" s="1"/>
  <c r="B35" s="1"/>
  <c r="D34"/>
  <c r="C35" l="1"/>
  <c r="E35" l="1"/>
  <c r="F35" s="1"/>
  <c r="B36" s="1"/>
  <c r="D35"/>
  <c r="C36" l="1"/>
  <c r="D36" l="1"/>
  <c r="E36" s="1"/>
  <c r="F36" s="1"/>
  <c r="B37" s="1"/>
  <c r="C37" l="1"/>
  <c r="D37" l="1"/>
  <c r="E37" s="1"/>
  <c r="F37" s="1"/>
  <c r="B38" s="1"/>
  <c r="C38" l="1"/>
  <c r="E38" l="1"/>
  <c r="F38" s="1"/>
  <c r="B39" s="1"/>
  <c r="D38"/>
  <c r="C39" l="1"/>
  <c r="D39" l="1"/>
  <c r="E39" s="1"/>
  <c r="F39" s="1"/>
  <c r="B40" s="1"/>
  <c r="C40" l="1"/>
  <c r="E40" l="1"/>
  <c r="F40" s="1"/>
  <c r="B41" s="1"/>
  <c r="D40"/>
  <c r="C41" l="1"/>
  <c r="E41" l="1"/>
  <c r="F41" s="1"/>
  <c r="B42" s="1"/>
  <c r="D41"/>
  <c r="C42" l="1"/>
  <c r="E42" l="1"/>
  <c r="F42" s="1"/>
  <c r="B43" s="1"/>
  <c r="D42"/>
  <c r="C43" l="1"/>
  <c r="E43" l="1"/>
  <c r="F43" s="1"/>
  <c r="B44" s="1"/>
  <c r="D43"/>
  <c r="C44" l="1"/>
  <c r="E44" l="1"/>
  <c r="F44" s="1"/>
  <c r="B45" s="1"/>
  <c r="D44"/>
  <c r="C45" l="1"/>
  <c r="E45" l="1"/>
  <c r="F45" s="1"/>
  <c r="B46" s="1"/>
  <c r="D45"/>
  <c r="C46" l="1"/>
  <c r="E46" l="1"/>
  <c r="F46" s="1"/>
  <c r="B47" s="1"/>
  <c r="D46"/>
  <c r="C47" l="1"/>
  <c r="D47" l="1"/>
  <c r="E47" s="1"/>
  <c r="F47" s="1"/>
  <c r="B48" s="1"/>
  <c r="C48" l="1"/>
  <c r="E48" l="1"/>
  <c r="F48" s="1"/>
  <c r="B49" s="1"/>
  <c r="D48"/>
  <c r="C49" l="1"/>
  <c r="E49" l="1"/>
  <c r="F49" s="1"/>
  <c r="B50" s="1"/>
  <c r="D49"/>
  <c r="C50" l="1"/>
  <c r="E50" l="1"/>
  <c r="F50" s="1"/>
  <c r="B51" s="1"/>
  <c r="D50"/>
  <c r="C51" l="1"/>
  <c r="D51" l="1"/>
  <c r="E51" s="1"/>
  <c r="F51" s="1"/>
  <c r="B52" s="1"/>
  <c r="C52" l="1"/>
  <c r="E52" l="1"/>
  <c r="F52" s="1"/>
  <c r="B53" s="1"/>
  <c r="D52"/>
  <c r="C53" l="1"/>
  <c r="E53" l="1"/>
  <c r="F53" s="1"/>
  <c r="B54" s="1"/>
  <c r="D53"/>
  <c r="C54" l="1"/>
  <c r="E54" l="1"/>
  <c r="F54" s="1"/>
  <c r="B55" s="1"/>
  <c r="D54"/>
  <c r="C55" l="1"/>
  <c r="E55" l="1"/>
  <c r="F55" s="1"/>
  <c r="B56" s="1"/>
  <c r="D55"/>
  <c r="C56" l="1"/>
  <c r="E56" l="1"/>
  <c r="F56" s="1"/>
  <c r="B57" s="1"/>
  <c r="D56"/>
  <c r="C57" l="1"/>
  <c r="D57" l="1"/>
  <c r="E57" s="1"/>
  <c r="F57" s="1"/>
  <c r="B58" s="1"/>
  <c r="C58" l="1"/>
  <c r="E58" l="1"/>
  <c r="F58" s="1"/>
  <c r="B59" s="1"/>
  <c r="D58"/>
  <c r="C59" l="1"/>
  <c r="E59" l="1"/>
  <c r="F59" s="1"/>
  <c r="B60" s="1"/>
  <c r="D59"/>
  <c r="C60" l="1"/>
  <c r="E60" l="1"/>
  <c r="F60" s="1"/>
  <c r="B61" s="1"/>
  <c r="D60"/>
  <c r="C61" l="1"/>
  <c r="D61" l="1"/>
  <c r="E61" s="1"/>
  <c r="F61" s="1"/>
  <c r="B62" s="1"/>
  <c r="C62" l="1"/>
  <c r="E62" l="1"/>
  <c r="F62" s="1"/>
  <c r="B63" s="1"/>
  <c r="D62"/>
  <c r="C63" l="1"/>
  <c r="E63" l="1"/>
  <c r="F63" s="1"/>
  <c r="B64" s="1"/>
  <c r="D63"/>
  <c r="C64" l="1"/>
  <c r="E64" l="1"/>
  <c r="F64" s="1"/>
  <c r="B65" s="1"/>
  <c r="D64"/>
  <c r="C65" l="1"/>
  <c r="E65" l="1"/>
  <c r="F65" s="1"/>
  <c r="B66" s="1"/>
  <c r="D65"/>
  <c r="C66" l="1"/>
  <c r="E66" l="1"/>
  <c r="F66" s="1"/>
  <c r="B67" s="1"/>
  <c r="D66"/>
  <c r="C67" l="1"/>
  <c r="D67" l="1"/>
  <c r="E67" s="1"/>
  <c r="F67" s="1"/>
  <c r="B68" s="1"/>
  <c r="C68" l="1"/>
  <c r="E68" l="1"/>
  <c r="F68" s="1"/>
  <c r="B69" s="1"/>
  <c r="D68"/>
  <c r="C69" l="1"/>
  <c r="E69" l="1"/>
  <c r="F69" s="1"/>
  <c r="B70" s="1"/>
  <c r="D69"/>
  <c r="C70" l="1"/>
  <c r="E70" l="1"/>
  <c r="F70" s="1"/>
  <c r="B71" s="1"/>
  <c r="D70"/>
  <c r="C71" l="1"/>
  <c r="E71" l="1"/>
  <c r="F71" s="1"/>
  <c r="B72" s="1"/>
  <c r="D71"/>
  <c r="C72" l="1"/>
  <c r="E72" l="1"/>
  <c r="F72" s="1"/>
  <c r="B73" s="1"/>
  <c r="D72"/>
  <c r="C73" l="1"/>
  <c r="E73" l="1"/>
  <c r="F73" s="1"/>
  <c r="B74" s="1"/>
  <c r="D73"/>
  <c r="C74" l="1"/>
  <c r="E74" l="1"/>
  <c r="F74" s="1"/>
  <c r="B75" s="1"/>
  <c r="D74"/>
  <c r="C75" l="1"/>
  <c r="E75" l="1"/>
  <c r="F75" s="1"/>
  <c r="B76" s="1"/>
  <c r="D75"/>
  <c r="C76" l="1"/>
  <c r="D76" l="1"/>
  <c r="E76" s="1"/>
  <c r="F76" s="1"/>
  <c r="B77" s="1"/>
  <c r="C77" l="1"/>
  <c r="E77" l="1"/>
  <c r="F77" s="1"/>
  <c r="B78" s="1"/>
  <c r="D77"/>
  <c r="C78" l="1"/>
  <c r="D78" l="1"/>
  <c r="E78" s="1"/>
  <c r="F78" s="1"/>
  <c r="B79" s="1"/>
  <c r="C79" l="1"/>
  <c r="E79" l="1"/>
  <c r="F79" s="1"/>
  <c r="B80" s="1"/>
  <c r="D79"/>
  <c r="C80" l="1"/>
  <c r="E80" l="1"/>
  <c r="F80" s="1"/>
  <c r="B81" s="1"/>
  <c r="D80"/>
  <c r="C81" l="1"/>
  <c r="E81" l="1"/>
  <c r="F81" s="1"/>
  <c r="B82" s="1"/>
  <c r="D81"/>
  <c r="C82" l="1"/>
  <c r="D82" l="1"/>
  <c r="E82" s="1"/>
  <c r="F82" s="1"/>
  <c r="B83" s="1"/>
  <c r="C83" l="1"/>
  <c r="E83" l="1"/>
  <c r="F83" s="1"/>
  <c r="B84" s="1"/>
  <c r="D83"/>
  <c r="C84" l="1"/>
  <c r="E84" l="1"/>
  <c r="F84" s="1"/>
  <c r="B85" s="1"/>
  <c r="D84"/>
  <c r="C85" l="1"/>
  <c r="D85" l="1"/>
  <c r="E85" s="1"/>
  <c r="F85" s="1"/>
  <c r="B86" s="1"/>
  <c r="C86" l="1"/>
  <c r="E86" l="1"/>
  <c r="F86" s="1"/>
  <c r="B87" s="1"/>
  <c r="D86"/>
  <c r="C87" l="1"/>
  <c r="E87" l="1"/>
  <c r="F87" s="1"/>
  <c r="B88" s="1"/>
  <c r="D87"/>
  <c r="C88" l="1"/>
  <c r="D88" l="1"/>
  <c r="E88" s="1"/>
  <c r="F88" s="1"/>
  <c r="B89" s="1"/>
  <c r="C89" l="1"/>
  <c r="E89" l="1"/>
  <c r="F89" s="1"/>
  <c r="B90" s="1"/>
  <c r="D89"/>
  <c r="C90" l="1"/>
  <c r="E90" l="1"/>
  <c r="F90" s="1"/>
  <c r="B91" s="1"/>
  <c r="D90"/>
  <c r="C91" l="1"/>
  <c r="E91" l="1"/>
  <c r="F91" s="1"/>
  <c r="B92" s="1"/>
  <c r="D91"/>
  <c r="C92" l="1"/>
  <c r="E92" l="1"/>
  <c r="F92" s="1"/>
  <c r="B93" s="1"/>
  <c r="D92"/>
  <c r="C93" l="1"/>
  <c r="E93" l="1"/>
  <c r="F93" s="1"/>
  <c r="B94" s="1"/>
  <c r="D93"/>
  <c r="C94" l="1"/>
  <c r="E94" l="1"/>
  <c r="F94" s="1"/>
  <c r="B95" s="1"/>
  <c r="D94"/>
  <c r="C95" l="1"/>
  <c r="D95" l="1"/>
  <c r="E95" s="1"/>
  <c r="F95" s="1"/>
  <c r="B96" s="1"/>
  <c r="C96" l="1"/>
  <c r="E96" l="1"/>
  <c r="F96" s="1"/>
  <c r="B97" s="1"/>
  <c r="D96"/>
  <c r="C97" l="1"/>
  <c r="D97" l="1"/>
  <c r="E97" s="1"/>
  <c r="F97" s="1"/>
  <c r="B98" s="1"/>
  <c r="C98" l="1"/>
  <c r="E98" l="1"/>
  <c r="F98" s="1"/>
  <c r="B99" s="1"/>
  <c r="D98"/>
  <c r="C99" l="1"/>
  <c r="E99" l="1"/>
  <c r="F99" s="1"/>
  <c r="B100" s="1"/>
  <c r="D99"/>
  <c r="C100" l="1"/>
  <c r="D100" l="1"/>
  <c r="E100" s="1"/>
  <c r="F100" s="1"/>
  <c r="B101" s="1"/>
  <c r="C101" l="1"/>
  <c r="D101" l="1"/>
  <c r="E101" s="1"/>
  <c r="F101" s="1"/>
  <c r="B102" s="1"/>
  <c r="C102" l="1"/>
  <c r="E102" l="1"/>
  <c r="F102" s="1"/>
  <c r="B103" s="1"/>
  <c r="D102"/>
  <c r="C103" l="1"/>
  <c r="E103" l="1"/>
  <c r="F103" s="1"/>
  <c r="B104" s="1"/>
  <c r="D103"/>
  <c r="C104" l="1"/>
  <c r="E104" l="1"/>
  <c r="F104" s="1"/>
  <c r="B105" s="1"/>
  <c r="D104"/>
  <c r="C105" l="1"/>
  <c r="D105" l="1"/>
  <c r="E105" s="1"/>
  <c r="F105" s="1"/>
  <c r="B106" s="1"/>
  <c r="C106" l="1"/>
  <c r="E106" l="1"/>
  <c r="F106" s="1"/>
  <c r="B107" s="1"/>
  <c r="D106"/>
  <c r="C107" l="1"/>
  <c r="D107" l="1"/>
  <c r="E107" s="1"/>
  <c r="F107" s="1"/>
  <c r="B108" s="1"/>
  <c r="C108" l="1"/>
  <c r="D108" l="1"/>
  <c r="E108" s="1"/>
  <c r="F108" s="1"/>
  <c r="B109" s="1"/>
  <c r="C109" l="1"/>
  <c r="D109" l="1"/>
  <c r="E109" s="1"/>
  <c r="F109" s="1"/>
  <c r="B110" s="1"/>
  <c r="C110" l="1"/>
  <c r="D110" l="1"/>
  <c r="E110" s="1"/>
  <c r="F110" s="1"/>
  <c r="B111" s="1"/>
  <c r="C111" l="1"/>
  <c r="D111" l="1"/>
  <c r="E111" s="1"/>
  <c r="F111" s="1"/>
  <c r="B112" s="1"/>
  <c r="C112" l="1"/>
  <c r="E112" l="1"/>
  <c r="F112" s="1"/>
  <c r="B113" s="1"/>
  <c r="D112"/>
  <c r="C113" l="1"/>
  <c r="D113" l="1"/>
  <c r="E113" s="1"/>
  <c r="F113" s="1"/>
  <c r="B114" s="1"/>
  <c r="C114" l="1"/>
  <c r="E114" l="1"/>
  <c r="F114" s="1"/>
  <c r="B115" s="1"/>
  <c r="D114"/>
  <c r="C115" l="1"/>
  <c r="E115" l="1"/>
  <c r="F115" s="1"/>
  <c r="B116" s="1"/>
  <c r="D115"/>
  <c r="C116" l="1"/>
  <c r="D116" l="1"/>
  <c r="E116" s="1"/>
  <c r="F116" s="1"/>
  <c r="B117" s="1"/>
  <c r="C117" l="1"/>
  <c r="E117" l="1"/>
  <c r="F117" s="1"/>
  <c r="B118" s="1"/>
  <c r="D117"/>
  <c r="C118" l="1"/>
  <c r="E118" l="1"/>
  <c r="F118" s="1"/>
  <c r="B119" s="1"/>
  <c r="D118"/>
  <c r="C119" l="1"/>
  <c r="E119" l="1"/>
  <c r="F119" s="1"/>
  <c r="B120" s="1"/>
  <c r="D119"/>
  <c r="C120" l="1"/>
  <c r="E120" l="1"/>
  <c r="F120" s="1"/>
  <c r="B121" s="1"/>
  <c r="D120"/>
  <c r="C121" l="1"/>
  <c r="E121" l="1"/>
  <c r="F121" s="1"/>
  <c r="B122" s="1"/>
  <c r="D121"/>
  <c r="C122" l="1"/>
  <c r="E122" l="1"/>
  <c r="F122" s="1"/>
  <c r="B123" s="1"/>
  <c r="D122"/>
  <c r="C123" l="1"/>
  <c r="D123" l="1"/>
  <c r="E123" s="1"/>
  <c r="F123" s="1"/>
  <c r="B124" s="1"/>
  <c r="C124" l="1"/>
  <c r="D124" l="1"/>
  <c r="E124" s="1"/>
  <c r="F124" s="1"/>
  <c r="B125" s="1"/>
  <c r="C125" l="1"/>
  <c r="D125" l="1"/>
  <c r="E125" s="1"/>
  <c r="F125" s="1"/>
  <c r="B126" s="1"/>
  <c r="C126" l="1"/>
  <c r="D126" l="1"/>
  <c r="E126" s="1"/>
  <c r="F126" s="1"/>
  <c r="B127" s="1"/>
  <c r="C127" l="1"/>
  <c r="E127" l="1"/>
  <c r="F127" s="1"/>
  <c r="B128" s="1"/>
  <c r="D127"/>
  <c r="C128" l="1"/>
  <c r="E128" l="1"/>
  <c r="F128" s="1"/>
  <c r="B129" s="1"/>
  <c r="D128"/>
  <c r="C129" l="1"/>
  <c r="E129" l="1"/>
  <c r="F129" s="1"/>
  <c r="B130" s="1"/>
  <c r="D129"/>
  <c r="C130" l="1"/>
  <c r="D130" l="1"/>
  <c r="E130" s="1"/>
  <c r="F130" s="1"/>
  <c r="B131" s="1"/>
  <c r="C131" l="1"/>
  <c r="E131" l="1"/>
  <c r="F131" s="1"/>
  <c r="B132" s="1"/>
  <c r="D131"/>
  <c r="C132" l="1"/>
  <c r="D132" l="1"/>
  <c r="E132" s="1"/>
  <c r="F132" s="1"/>
  <c r="B133" s="1"/>
  <c r="C133" l="1"/>
  <c r="E133" l="1"/>
  <c r="F133" s="1"/>
  <c r="B134" s="1"/>
  <c r="D133"/>
  <c r="C134" l="1"/>
  <c r="D134" l="1"/>
  <c r="E134" s="1"/>
  <c r="F134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ash Flow &amp; Records.xlsx!Ledger" type="102" refreshedVersion="6" minRefreshableVersion="5" saveData="1">
    <extLst>
      <ext xmlns:x15="http://schemas.microsoft.com/office/spreadsheetml/2010/11/main" uri="{DE250136-89BD-433C-8126-D09CA5730AF9}">
        <x15:connection id="Ledger">
          <x15:rangePr sourceName="_xlcn.WorksheetConnection_CashFlowRecords.xlsxLedger1"/>
        </x15:connection>
      </ext>
    </extLst>
  </connection>
</connections>
</file>

<file path=xl/sharedStrings.xml><?xml version="1.0" encoding="utf-8"?>
<sst xmlns="http://schemas.openxmlformats.org/spreadsheetml/2006/main" count="472" uniqueCount="252">
  <si>
    <t>Date</t>
  </si>
  <si>
    <t>Cash In</t>
  </si>
  <si>
    <t>Contract labor</t>
  </si>
  <si>
    <t>Supplies</t>
  </si>
  <si>
    <t>Advertising</t>
  </si>
  <si>
    <t>Reference #</t>
  </si>
  <si>
    <t>Cash Out</t>
  </si>
  <si>
    <t>Taxes and licenses</t>
  </si>
  <si>
    <t>Other expenses</t>
  </si>
  <si>
    <t>Gross receipts or sales</t>
  </si>
  <si>
    <t>Part I: Income</t>
  </si>
  <si>
    <t>Cost of goods sold</t>
  </si>
  <si>
    <t>Returns and allowances</t>
  </si>
  <si>
    <t>Gross profit</t>
  </si>
  <si>
    <t>Other income</t>
  </si>
  <si>
    <t>Gross income</t>
  </si>
  <si>
    <t>Part II: Expenses</t>
  </si>
  <si>
    <t>Car and truck expenses</t>
  </si>
  <si>
    <t>Commissions and fees</t>
  </si>
  <si>
    <t>Depletion</t>
  </si>
  <si>
    <t>Depreciation</t>
  </si>
  <si>
    <t>Employee benefit programs</t>
  </si>
  <si>
    <t>Insurance (other than health)</t>
  </si>
  <si>
    <t>Interest</t>
  </si>
  <si>
    <t>Mortgage</t>
  </si>
  <si>
    <t>Legal and professional services</t>
  </si>
  <si>
    <t>Office expense</t>
  </si>
  <si>
    <t>Pension and profit-sharing plans</t>
  </si>
  <si>
    <t>Rent or lease</t>
  </si>
  <si>
    <t>Vehicles, machinery, and equipment</t>
  </si>
  <si>
    <t>Other business property</t>
  </si>
  <si>
    <t>Repairs and maintenance</t>
  </si>
  <si>
    <t>Travel</t>
  </si>
  <si>
    <t>Deductible meals and entertainment</t>
  </si>
  <si>
    <t>Utilities</t>
  </si>
  <si>
    <t>Reserved for future use</t>
  </si>
  <si>
    <t>Total expense before</t>
  </si>
  <si>
    <t>Tentative profit or (loss)</t>
  </si>
  <si>
    <t>Expense for business use of home</t>
  </si>
  <si>
    <t>Net profit or (loss)</t>
  </si>
  <si>
    <t>Type</t>
  </si>
  <si>
    <t>Other Interest</t>
  </si>
  <si>
    <t>DBT</t>
  </si>
  <si>
    <t>CRT</t>
  </si>
  <si>
    <t>Check</t>
  </si>
  <si>
    <t>EFT</t>
  </si>
  <si>
    <t>Part III: Cost of Goods Sold</t>
  </si>
  <si>
    <t>Inventory at beginning of year</t>
  </si>
  <si>
    <t>Purchases less cost of items withdrawn for personal use</t>
  </si>
  <si>
    <t>Materials and supplies</t>
  </si>
  <si>
    <t>Other costs</t>
  </si>
  <si>
    <t>Add lines above</t>
  </si>
  <si>
    <t>Inventory at end of year</t>
  </si>
  <si>
    <t>Method(s) used to value closing inventory</t>
  </si>
  <si>
    <t>Cost</t>
  </si>
  <si>
    <t>Lower of cost or market</t>
  </si>
  <si>
    <t>Other (attach explanation to Schedule C)</t>
  </si>
  <si>
    <t>Was there any change in determining quantities, costs, or valuations between opening and closing inventory?</t>
  </si>
  <si>
    <t>Yes</t>
  </si>
  <si>
    <t>No</t>
  </si>
  <si>
    <t>Account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</si>
  <si>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</si>
  <si>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</si>
  <si>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</si>
  <si>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</si>
  <si>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</si>
  <si>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</si>
  <si>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</si>
  <si>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</si>
  <si>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</si>
  <si>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</si>
  <si>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</si>
  <si>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</si>
  <si>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Cost of Goods Sold</t>
  </si>
  <si>
    <t>Gross Receipts or Sales</t>
  </si>
  <si>
    <t>Gross Profit</t>
  </si>
  <si>
    <t>Total Monthly Expenses</t>
  </si>
  <si>
    <t>Net Cash</t>
  </si>
  <si>
    <t>Beginning Monthly Bank Balance</t>
  </si>
  <si>
    <t>Ending Monthly Bank Balance</t>
  </si>
  <si>
    <t>Self-Employment Tax</t>
  </si>
  <si>
    <t>Deduction for one-half of self-employment tax</t>
  </si>
  <si>
    <t>Net profit or (loss) from Schedule C</t>
  </si>
  <si>
    <t>Self-employment tax test</t>
  </si>
  <si>
    <t>Equity from personal sources</t>
  </si>
  <si>
    <t>Bank loan(s)</t>
  </si>
  <si>
    <t>Owner's withdrawal(s)</t>
  </si>
  <si>
    <t>Inventory</t>
  </si>
  <si>
    <t>Cash</t>
  </si>
  <si>
    <t>IRS Mileage Calculator</t>
  </si>
  <si>
    <t>Deductible Miles Expense</t>
  </si>
  <si>
    <t>IRS Mileage Rate</t>
  </si>
  <si>
    <t>Total Miles for Tax Year</t>
  </si>
  <si>
    <t xml:space="preserve">Calendar Working Cash Flow </t>
  </si>
  <si>
    <t>Click for IRS Rate</t>
  </si>
  <si>
    <t>Start-Up</t>
  </si>
  <si>
    <t>Rent or lease (Vehicles, machinery, and equipment)</t>
  </si>
  <si>
    <t>Rent or lease (Other business property)</t>
  </si>
  <si>
    <t>Licenses</t>
  </si>
  <si>
    <t>Wages (or salaries)</t>
  </si>
  <si>
    <t>Capital purchases</t>
  </si>
  <si>
    <t>Debt repayment</t>
  </si>
  <si>
    <t>Net Cash (added or subtracted)</t>
  </si>
  <si>
    <t xml:space="preserve">FUTA </t>
  </si>
  <si>
    <t xml:space="preserve">SUTA </t>
  </si>
  <si>
    <t>Payroll taxes</t>
  </si>
  <si>
    <t>Other taxes</t>
  </si>
  <si>
    <t>Forecasted Cash Flow Year 3</t>
  </si>
  <si>
    <t xml:space="preserve"> Loan Amortization</t>
  </si>
  <si>
    <t>Total Loan Amount</t>
  </si>
  <si>
    <t>Total Interest</t>
  </si>
  <si>
    <t>Down Payment %</t>
  </si>
  <si>
    <t>Down Payment Amount</t>
  </si>
  <si>
    <t>Loan Amount</t>
  </si>
  <si>
    <t>Loan Term</t>
  </si>
  <si>
    <t>Total Principal</t>
  </si>
  <si>
    <t>Rate</t>
  </si>
  <si>
    <t>Total Loan Value</t>
  </si>
  <si>
    <t>Payment</t>
  </si>
  <si>
    <t>Pmt #</t>
  </si>
  <si>
    <t>Beginning
Balance</t>
  </si>
  <si>
    <t>Principal</t>
  </si>
  <si>
    <t>Total Payment</t>
  </si>
  <si>
    <t>Ending
Balance</t>
  </si>
  <si>
    <t>Proceeds from loan</t>
  </si>
  <si>
    <t>Profit Margin</t>
  </si>
  <si>
    <t>Interest Coverage</t>
  </si>
  <si>
    <t>Deductible meals</t>
  </si>
  <si>
    <t xml:space="preserve">Deductible meals </t>
  </si>
  <si>
    <t>Wages</t>
  </si>
  <si>
    <t>Travel and meals</t>
  </si>
  <si>
    <t>Cost of labor. Do not include any amounts paid to yourself.</t>
  </si>
  <si>
    <t>Supplies (not included in Cost of Goods Sold)</t>
  </si>
  <si>
    <t>Wages (less employment credits)</t>
  </si>
  <si>
    <t>Interest: Mortgage (paid to banks, etc.)</t>
  </si>
  <si>
    <t>Interest: Other</t>
  </si>
  <si>
    <t>Rent or lease: Vehicles, machinery, and equipment</t>
  </si>
  <si>
    <t>Rent or lease: Other business property</t>
  </si>
  <si>
    <t>Proceeds from bank loan(s)</t>
  </si>
  <si>
    <t>Business Mileage Ledger</t>
  </si>
  <si>
    <t>General Ledger</t>
  </si>
  <si>
    <t>Name</t>
  </si>
  <si>
    <t>Memo/Description</t>
  </si>
  <si>
    <t>Self-Employment tax owed</t>
  </si>
  <si>
    <t>Company</t>
  </si>
  <si>
    <t>Email</t>
  </si>
  <si>
    <t>Phone</t>
  </si>
  <si>
    <t>Mobile</t>
  </si>
  <si>
    <t>Fax</t>
  </si>
  <si>
    <t>Website</t>
  </si>
  <si>
    <t>Street</t>
  </si>
  <si>
    <t>City</t>
  </si>
  <si>
    <t>State</t>
  </si>
  <si>
    <t>ZIP</t>
  </si>
  <si>
    <t>Country</t>
  </si>
  <si>
    <t>Opening Balance</t>
  </si>
  <si>
    <t>Opening Balance Date</t>
  </si>
  <si>
    <t>Tax Resale No.</t>
  </si>
  <si>
    <t>Customer Type</t>
  </si>
  <si>
    <t>Vendors</t>
  </si>
  <si>
    <t>Tax ID</t>
  </si>
  <si>
    <t>Mileage Purpose</t>
  </si>
  <si>
    <t>Ride-sharing driving</t>
  </si>
  <si>
    <t>Meeting with a client</t>
  </si>
  <si>
    <t>Dropping off supplies</t>
  </si>
  <si>
    <t>Delivery/drop off</t>
  </si>
  <si>
    <t xml:space="preserve">Business meeting </t>
  </si>
  <si>
    <t>Client meeting</t>
  </si>
  <si>
    <t>Trip Date</t>
  </si>
  <si>
    <t>Debt Service Coverage Ratio</t>
  </si>
  <si>
    <t>Miles</t>
  </si>
  <si>
    <t>Mileage Expense</t>
  </si>
  <si>
    <t>Odometer Start</t>
  </si>
  <si>
    <t>Odometer End</t>
  </si>
  <si>
    <t>Transaction Classification</t>
  </si>
  <si>
    <t>Month</t>
  </si>
  <si>
    <t>Number</t>
  </si>
  <si>
    <t>Calculation</t>
  </si>
  <si>
    <t>Calculation2</t>
  </si>
  <si>
    <t>Month3</t>
  </si>
  <si>
    <t>Total</t>
  </si>
  <si>
    <t>Schedule C</t>
  </si>
  <si>
    <t>Parker, Inc.</t>
  </si>
  <si>
    <t>Rent</t>
  </si>
  <si>
    <t>Hoover, LLC</t>
  </si>
  <si>
    <t>Starting Inventory</t>
  </si>
  <si>
    <t>Model</t>
  </si>
  <si>
    <t>Price Per Model</t>
  </si>
  <si>
    <t>Quantity</t>
  </si>
  <si>
    <t>Honda Civic</t>
  </si>
  <si>
    <t>Ford F150</t>
  </si>
  <si>
    <t>Ford Fusion</t>
  </si>
  <si>
    <t>Toyota Tacoma</t>
  </si>
  <si>
    <t>Insurance Policies</t>
  </si>
  <si>
    <t>Policy Type</t>
  </si>
  <si>
    <t>Premium</t>
  </si>
  <si>
    <t>General Liability</t>
  </si>
  <si>
    <t>Business Interruption</t>
  </si>
  <si>
    <t xml:space="preserve">Property (Auto) </t>
  </si>
  <si>
    <t>CP</t>
  </si>
  <si>
    <t>WC</t>
  </si>
  <si>
    <t>Cyber</t>
  </si>
  <si>
    <t>Inland Marine</t>
  </si>
  <si>
    <t>License Type</t>
  </si>
  <si>
    <t>Articles of Organization</t>
  </si>
  <si>
    <t>SC Sales Tax ID</t>
  </si>
  <si>
    <t>City of Aiken License</t>
  </si>
  <si>
    <t>Asset</t>
  </si>
  <si>
    <t>Capital Purchases</t>
  </si>
  <si>
    <t>Printer</t>
  </si>
  <si>
    <t>Chairs</t>
  </si>
  <si>
    <t>Total Cost</t>
  </si>
  <si>
    <t>Desks</t>
  </si>
  <si>
    <t>Dell Desktop</t>
  </si>
  <si>
    <t>Router</t>
  </si>
  <si>
    <t>Car Stuff</t>
  </si>
  <si>
    <t>Mechanic's Tools</t>
  </si>
  <si>
    <t>Employees</t>
  </si>
  <si>
    <t>Job Title</t>
  </si>
  <si>
    <t>Salary</t>
  </si>
  <si>
    <t>Monthly Cost</t>
  </si>
  <si>
    <t>Salesperson</t>
  </si>
  <si>
    <t>Admin</t>
  </si>
  <si>
    <t>Manager</t>
  </si>
  <si>
    <t>Mechanic</t>
  </si>
  <si>
    <t>Markup</t>
  </si>
  <si>
    <t>Timeline</t>
  </si>
  <si>
    <t>Values</t>
  </si>
  <si>
    <t>Forecast</t>
  </si>
  <si>
    <t>Confidence Interval</t>
  </si>
  <si>
    <t>12670</t>
  </si>
  <si>
    <t>3460</t>
  </si>
  <si>
    <t>5600</t>
  </si>
  <si>
    <t xml:space="preserve"> $23,000.00 </t>
  </si>
  <si>
    <t>21090</t>
  </si>
  <si>
    <t>Denver Woman</t>
  </si>
  <si>
    <t>United way</t>
  </si>
  <si>
    <t>unitedway@uwlafayette.org</t>
  </si>
  <si>
    <t>State street</t>
  </si>
  <si>
    <t>Lafayette</t>
  </si>
  <si>
    <t>Newyork</t>
  </si>
  <si>
    <t>uited states</t>
  </si>
  <si>
    <t>THY769</t>
  </si>
  <si>
    <t>Break even analysis of the company</t>
  </si>
  <si>
    <t>United way company break even analysis tells how many units of the product produced must</t>
  </si>
  <si>
    <t xml:space="preserve">be sold to cover the fixed and the variable costs of production. For United way company it’s a </t>
  </si>
  <si>
    <t>measure of margin of safety.</t>
  </si>
  <si>
    <t xml:space="preserve">         Gross profit per unit</t>
  </si>
  <si>
    <t>* sales price per unit</t>
  </si>
  <si>
    <t xml:space="preserve">       * 235,749</t>
  </si>
  <si>
    <r>
      <t>Break-even point  =</t>
    </r>
    <r>
      <rPr>
        <b/>
        <u/>
        <sz val="12"/>
        <color theme="7"/>
        <rFont val="Garamond"/>
        <family val="2"/>
        <scheme val="minor"/>
      </rPr>
      <t>( Total fixed costs)</t>
    </r>
  </si>
  <si>
    <r>
      <t xml:space="preserve">     = </t>
    </r>
    <r>
      <rPr>
        <b/>
        <u/>
        <sz val="12"/>
        <color theme="7"/>
        <rFont val="Garamond"/>
        <family val="2"/>
        <scheme val="minor"/>
      </rPr>
      <t xml:space="preserve">   21,199,930.83 units</t>
    </r>
  </si>
</sst>
</file>

<file path=xl/styles.xml><?xml version="1.0" encoding="utf-8"?>
<styleSheet xmlns="http://schemas.openxmlformats.org/spreadsheetml/2006/main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&quot;$&quot;* #,##0.000_);_(&quot;$&quot;* \(#,##0.000\);_(&quot;$&quot;* &quot;-&quot;??_);_(@_)"/>
    <numFmt numFmtId="166" formatCode="0.0"/>
  </numFmts>
  <fonts count="52">
    <font>
      <sz val="12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b/>
      <sz val="12"/>
      <color theme="0"/>
      <name val="Garamond"/>
      <family val="2"/>
      <scheme val="minor"/>
    </font>
    <font>
      <sz val="11"/>
      <color theme="1" tint="0.24994659260841701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b/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b/>
      <sz val="15"/>
      <color theme="3"/>
      <name val="Garamond"/>
      <family val="2"/>
      <scheme val="minor"/>
    </font>
    <font>
      <b/>
      <sz val="13"/>
      <color theme="3"/>
      <name val="Garamond"/>
      <family val="2"/>
      <scheme val="minor"/>
    </font>
    <font>
      <b/>
      <sz val="13"/>
      <color theme="0"/>
      <name val="Garamond"/>
      <family val="1"/>
      <scheme val="minor"/>
    </font>
    <font>
      <sz val="12"/>
      <color theme="1"/>
      <name val="Palatino Linotype"/>
      <family val="1"/>
    </font>
    <font>
      <b/>
      <sz val="16"/>
      <color theme="1"/>
      <name val="Garamond"/>
      <family val="1"/>
      <scheme val="minor"/>
    </font>
    <font>
      <b/>
      <sz val="11"/>
      <color theme="1"/>
      <name val="Garamond"/>
      <family val="2"/>
      <scheme val="minor"/>
    </font>
    <font>
      <sz val="18"/>
      <color theme="3"/>
      <name val="Garamond"/>
      <family val="2"/>
      <scheme val="major"/>
    </font>
    <font>
      <b/>
      <sz val="11"/>
      <color theme="3"/>
      <name val="Garamond"/>
      <family val="2"/>
      <scheme val="minor"/>
    </font>
    <font>
      <sz val="11"/>
      <color theme="3"/>
      <name val="Garamond"/>
      <family val="1"/>
      <scheme val="minor"/>
    </font>
    <font>
      <b/>
      <sz val="11"/>
      <color theme="3"/>
      <name val="Garamond"/>
      <family val="1"/>
      <scheme val="minor"/>
    </font>
    <font>
      <sz val="12"/>
      <color theme="1"/>
      <name val="Garamond"/>
      <family val="1"/>
      <scheme val="minor"/>
    </font>
    <font>
      <b/>
      <sz val="18"/>
      <color theme="3"/>
      <name val="Garamond"/>
      <family val="2"/>
      <scheme val="major"/>
    </font>
    <font>
      <sz val="8"/>
      <name val="Arial"/>
      <family val="2"/>
    </font>
    <font>
      <sz val="12"/>
      <name val="Garamond"/>
      <family val="2"/>
      <scheme val="minor"/>
    </font>
    <font>
      <sz val="12"/>
      <color rgb="FF000000"/>
      <name val="Garamond"/>
      <family val="2"/>
      <scheme val="minor"/>
    </font>
    <font>
      <sz val="10"/>
      <name val="Arial"/>
      <family val="2"/>
    </font>
    <font>
      <sz val="12"/>
      <name val="Garamond"/>
      <family val="1"/>
      <scheme val="minor"/>
    </font>
    <font>
      <i/>
      <sz val="11"/>
      <color theme="1"/>
      <name val="Garamond"/>
      <family val="1"/>
      <scheme val="minor"/>
    </font>
    <font>
      <sz val="11"/>
      <color theme="0"/>
      <name val="Garamond"/>
      <family val="2"/>
      <scheme val="minor"/>
    </font>
    <font>
      <b/>
      <i/>
      <sz val="11"/>
      <color theme="3"/>
      <name val="Garamond"/>
      <family val="1"/>
      <scheme val="minor"/>
    </font>
    <font>
      <i/>
      <sz val="11"/>
      <color theme="3"/>
      <name val="Garamond"/>
      <family val="1"/>
      <scheme val="minor"/>
    </font>
    <font>
      <i/>
      <sz val="12"/>
      <color theme="1"/>
      <name val="Garamond"/>
      <family val="1"/>
      <scheme val="minor"/>
    </font>
    <font>
      <b/>
      <sz val="11"/>
      <color theme="1"/>
      <name val="Garamond"/>
      <family val="1"/>
      <scheme val="minor"/>
    </font>
    <font>
      <u/>
      <sz val="11"/>
      <color theme="10"/>
      <name val="Garamond"/>
      <family val="2"/>
      <scheme val="minor"/>
    </font>
    <font>
      <b/>
      <sz val="12"/>
      <color theme="1"/>
      <name val="Garamond"/>
      <family val="1"/>
      <scheme val="minor"/>
    </font>
    <font>
      <b/>
      <sz val="18"/>
      <color theme="3"/>
      <name val="Agency FB"/>
      <family val="2"/>
    </font>
    <font>
      <b/>
      <sz val="36"/>
      <color theme="3"/>
      <name val="Agency FB"/>
      <family val="2"/>
    </font>
    <font>
      <sz val="11"/>
      <color theme="1"/>
      <name val="Garamond"/>
      <family val="1"/>
      <scheme val="minor"/>
    </font>
    <font>
      <b/>
      <sz val="18"/>
      <color theme="7"/>
      <name val="Agency FB"/>
      <family val="2"/>
    </font>
    <font>
      <sz val="12"/>
      <color theme="1"/>
      <name val="Garamond"/>
      <scheme val="minor"/>
    </font>
    <font>
      <sz val="11"/>
      <color theme="1"/>
      <name val="Garamond"/>
      <scheme val="minor"/>
    </font>
    <font>
      <sz val="12"/>
      <color theme="7"/>
      <name val="Garamond"/>
      <family val="2"/>
      <scheme val="minor"/>
    </font>
    <font>
      <b/>
      <u/>
      <sz val="12"/>
      <color theme="7"/>
      <name val="Garamond"/>
      <family val="2"/>
      <scheme val="minor"/>
    </font>
    <font>
      <b/>
      <sz val="12"/>
      <color theme="7"/>
      <name val="Garamond"/>
      <family val="2"/>
      <scheme val="minor"/>
    </font>
    <font>
      <u/>
      <sz val="12"/>
      <color theme="7"/>
      <name val="Garamond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gradientFill degree="270">
        <stop position="0">
          <color rgb="FFF1F1F1"/>
        </stop>
        <stop position="1">
          <color theme="5" tint="0.40000610370189521"/>
        </stop>
      </gradient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rgb="FF002060"/>
      </top>
      <bottom style="thin">
        <color rgb="FF002060"/>
      </bottom>
      <diagonal/>
    </border>
    <border>
      <left style="thin">
        <color auto="1"/>
      </left>
      <right style="medium">
        <color auto="1"/>
      </right>
      <top style="thin">
        <color rgb="FF002060"/>
      </top>
      <bottom style="thin">
        <color rgb="FF00206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rgb="FF002060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rgb="FF002060"/>
      </top>
      <bottom style="medium">
        <color auto="1"/>
      </bottom>
      <diagonal/>
    </border>
    <border>
      <left/>
      <right/>
      <top/>
      <bottom style="thick">
        <color rgb="FF83992A"/>
      </bottom>
      <diagonal/>
    </border>
  </borders>
  <cellStyleXfs count="133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44" fontId="10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" fillId="17" borderId="0" applyNumberFormat="0" applyBorder="0" applyAlignment="0" applyProtection="0"/>
    <xf numFmtId="9" fontId="8" fillId="0" borderId="0" applyFont="0" applyFill="0" applyBorder="0" applyAlignment="0" applyProtection="0"/>
    <xf numFmtId="0" fontId="35" fillId="18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40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4" fillId="20" borderId="0" applyNumberFormat="0" applyBorder="0" applyAlignment="0" applyProtection="0"/>
  </cellStyleXfs>
  <cellXfs count="169">
    <xf numFmtId="0" fontId="0" fillId="0" borderId="0" xfId="0"/>
    <xf numFmtId="44" fontId="0" fillId="0" borderId="0" xfId="9" applyFont="1"/>
    <xf numFmtId="0" fontId="15" fillId="0" borderId="0" xfId="0" applyFont="1" applyAlignment="1">
      <alignment horizontal="center"/>
    </xf>
    <xf numFmtId="0" fontId="15" fillId="0" borderId="0" xfId="0" applyFont="1"/>
    <xf numFmtId="0" fontId="0" fillId="0" borderId="0" xfId="0" applyFont="1" applyAlignment="1">
      <alignment horizontal="center"/>
    </xf>
    <xf numFmtId="44" fontId="0" fillId="0" borderId="0" xfId="9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4" fontId="0" fillId="0" borderId="0" xfId="9" applyNumberFormat="1" applyFont="1"/>
    <xf numFmtId="164" fontId="15" fillId="0" borderId="3" xfId="9" applyNumberFormat="1" applyFont="1" applyBorder="1"/>
    <xf numFmtId="44" fontId="9" fillId="0" borderId="0" xfId="9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4" fillId="0" borderId="0" xfId="118"/>
    <xf numFmtId="0" fontId="0" fillId="0" borderId="0" xfId="0" applyBorder="1"/>
    <xf numFmtId="0" fontId="0" fillId="0" borderId="0" xfId="0" applyProtection="1"/>
    <xf numFmtId="44" fontId="24" fillId="0" borderId="4" xfId="9" applyFont="1" applyBorder="1" applyAlignment="1" applyProtection="1">
      <alignment horizontal="center"/>
    </xf>
    <xf numFmtId="44" fontId="25" fillId="0" borderId="4" xfId="9" applyFont="1" applyBorder="1" applyProtection="1"/>
    <xf numFmtId="0" fontId="25" fillId="0" borderId="4" xfId="118" applyFont="1" applyBorder="1" applyProtection="1"/>
    <xf numFmtId="0" fontId="25" fillId="0" borderId="4" xfId="118" applyFont="1" applyBorder="1" applyAlignment="1" applyProtection="1">
      <alignment horizontal="left"/>
    </xf>
    <xf numFmtId="44" fontId="0" fillId="0" borderId="0" xfId="9" applyFont="1" applyProtection="1"/>
    <xf numFmtId="0" fontId="24" fillId="12" borderId="4" xfId="118" applyFill="1" applyBorder="1" applyProtection="1"/>
    <xf numFmtId="44" fontId="25" fillId="12" borderId="4" xfId="9" applyFont="1" applyFill="1" applyBorder="1" applyProtection="1"/>
    <xf numFmtId="0" fontId="24" fillId="13" borderId="4" xfId="118" applyFill="1" applyBorder="1" applyProtection="1"/>
    <xf numFmtId="44" fontId="25" fillId="13" borderId="4" xfId="9" applyFont="1" applyFill="1" applyBorder="1" applyProtection="1"/>
    <xf numFmtId="0" fontId="24" fillId="14" borderId="4" xfId="118" applyFill="1" applyBorder="1" applyProtection="1"/>
    <xf numFmtId="0" fontId="24" fillId="15" borderId="4" xfId="118" applyFill="1" applyBorder="1" applyProtection="1"/>
    <xf numFmtId="44" fontId="26" fillId="13" borderId="4" xfId="9" applyFont="1" applyFill="1" applyBorder="1" applyProtection="1"/>
    <xf numFmtId="0" fontId="25" fillId="12" borderId="4" xfId="118" applyFont="1" applyFill="1" applyBorder="1" applyProtection="1"/>
    <xf numFmtId="44" fontId="24" fillId="12" borderId="4" xfId="9" applyFont="1" applyFill="1" applyBorder="1" applyProtection="1"/>
    <xf numFmtId="44" fontId="22" fillId="0" borderId="3" xfId="116" applyNumberFormat="1"/>
    <xf numFmtId="164" fontId="24" fillId="0" borderId="3" xfId="118" applyNumberFormat="1" applyBorder="1"/>
    <xf numFmtId="0" fontId="25" fillId="0" borderId="0" xfId="118" applyFont="1"/>
    <xf numFmtId="164" fontId="25" fillId="0" borderId="0" xfId="118" applyNumberFormat="1" applyFont="1" applyAlignment="1">
      <alignment horizontal="center"/>
    </xf>
    <xf numFmtId="164" fontId="25" fillId="0" borderId="0" xfId="118" applyNumberFormat="1" applyFont="1"/>
    <xf numFmtId="164" fontId="25" fillId="0" borderId="3" xfId="118" applyNumberFormat="1" applyFont="1" applyBorder="1"/>
    <xf numFmtId="0" fontId="26" fillId="0" borderId="0" xfId="118" applyFont="1"/>
    <xf numFmtId="44" fontId="24" fillId="14" borderId="4" xfId="9" applyFont="1" applyFill="1" applyBorder="1" applyProtection="1"/>
    <xf numFmtId="44" fontId="26" fillId="15" borderId="4" xfId="9" applyFont="1" applyFill="1" applyBorder="1" applyProtection="1"/>
    <xf numFmtId="44" fontId="26" fillId="12" borderId="4" xfId="9" applyFont="1" applyFill="1" applyBorder="1" applyProtection="1"/>
    <xf numFmtId="165" fontId="0" fillId="0" borderId="0" xfId="9" applyNumberFormat="1" applyFont="1"/>
    <xf numFmtId="0" fontId="13" fillId="0" borderId="0" xfId="119"/>
    <xf numFmtId="3" fontId="0" fillId="0" borderId="0" xfId="9" applyNumberFormat="1" applyFont="1"/>
    <xf numFmtId="0" fontId="16" fillId="0" borderId="0" xfId="121" applyFont="1" applyFill="1" applyBorder="1"/>
    <xf numFmtId="0" fontId="29" fillId="0" borderId="0" xfId="121"/>
    <xf numFmtId="0" fontId="16" fillId="0" borderId="13" xfId="121" applyFont="1" applyFill="1" applyBorder="1"/>
    <xf numFmtId="0" fontId="30" fillId="0" borderId="0" xfId="121" applyFont="1" applyFill="1" applyBorder="1" applyAlignment="1"/>
    <xf numFmtId="0" fontId="30" fillId="0" borderId="14" xfId="121" applyFont="1" applyFill="1" applyBorder="1" applyAlignment="1">
      <alignment horizontal="center"/>
    </xf>
    <xf numFmtId="0" fontId="31" fillId="0" borderId="15" xfId="121" applyFont="1" applyFill="1" applyBorder="1" applyAlignment="1"/>
    <xf numFmtId="44" fontId="30" fillId="0" borderId="16" xfId="122" applyFont="1" applyFill="1" applyBorder="1" applyAlignment="1"/>
    <xf numFmtId="44" fontId="30" fillId="0" borderId="17" xfId="122" applyFont="1" applyFill="1" applyBorder="1" applyAlignment="1"/>
    <xf numFmtId="0" fontId="30" fillId="0" borderId="18" xfId="121" applyFont="1" applyFill="1" applyBorder="1" applyAlignment="1"/>
    <xf numFmtId="44" fontId="30" fillId="0" borderId="19" xfId="122" applyFont="1" applyFill="1" applyBorder="1" applyAlignment="1"/>
    <xf numFmtId="10" fontId="30" fillId="0" borderId="16" xfId="122" applyNumberFormat="1" applyFont="1" applyFill="1" applyBorder="1" applyAlignment="1"/>
    <xf numFmtId="0" fontId="30" fillId="0" borderId="15" xfId="121" applyFont="1" applyFill="1" applyBorder="1" applyAlignment="1"/>
    <xf numFmtId="0" fontId="30" fillId="0" borderId="16" xfId="122" applyNumberFormat="1" applyFont="1" applyFill="1" applyBorder="1" applyAlignment="1"/>
    <xf numFmtId="0" fontId="30" fillId="0" borderId="17" xfId="122" applyNumberFormat="1" applyFont="1" applyFill="1" applyBorder="1" applyAlignment="1"/>
    <xf numFmtId="8" fontId="30" fillId="0" borderId="16" xfId="122" applyNumberFormat="1" applyFont="1" applyFill="1" applyBorder="1" applyAlignment="1"/>
    <xf numFmtId="0" fontId="29" fillId="0" borderId="0" xfId="121" applyBorder="1"/>
    <xf numFmtId="0" fontId="16" fillId="0" borderId="20" xfId="121" applyFont="1" applyFill="1" applyBorder="1"/>
    <xf numFmtId="0" fontId="30" fillId="0" borderId="21" xfId="121" applyNumberFormat="1" applyFont="1" applyFill="1" applyBorder="1" applyAlignment="1"/>
    <xf numFmtId="0" fontId="30" fillId="0" borderId="21" xfId="123" applyNumberFormat="1" applyFont="1" applyFill="1" applyBorder="1" applyAlignment="1">
      <alignment horizontal="center"/>
    </xf>
    <xf numFmtId="0" fontId="30" fillId="0" borderId="22" xfId="123" applyNumberFormat="1" applyFont="1" applyFill="1" applyBorder="1" applyAlignment="1">
      <alignment horizontal="center"/>
    </xf>
    <xf numFmtId="0" fontId="16" fillId="0" borderId="21" xfId="121" applyNumberFormat="1" applyFont="1" applyFill="1" applyBorder="1"/>
    <xf numFmtId="0" fontId="16" fillId="0" borderId="23" xfId="121" applyNumberFormat="1" applyFont="1" applyFill="1" applyBorder="1"/>
    <xf numFmtId="0" fontId="22" fillId="0" borderId="4" xfId="121" applyFont="1" applyBorder="1" applyAlignment="1">
      <alignment horizontal="center"/>
    </xf>
    <xf numFmtId="0" fontId="22" fillId="0" borderId="4" xfId="121" applyFont="1" applyBorder="1" applyAlignment="1">
      <alignment horizontal="center" wrapText="1"/>
    </xf>
    <xf numFmtId="44" fontId="27" fillId="0" borderId="4" xfId="122" applyFont="1" applyBorder="1"/>
    <xf numFmtId="0" fontId="33" fillId="0" borderId="4" xfId="121" applyFont="1" applyBorder="1"/>
    <xf numFmtId="44" fontId="33" fillId="0" borderId="4" xfId="121" applyNumberFormat="1" applyFont="1" applyBorder="1"/>
    <xf numFmtId="0" fontId="34" fillId="17" borderId="4" xfId="124" applyFont="1" applyBorder="1"/>
    <xf numFmtId="9" fontId="34" fillId="17" borderId="4" xfId="125" applyFont="1" applyFill="1" applyBorder="1"/>
    <xf numFmtId="2" fontId="34" fillId="17" borderId="4" xfId="124" applyNumberFormat="1" applyFont="1" applyBorder="1"/>
    <xf numFmtId="166" fontId="34" fillId="17" borderId="4" xfId="124" applyNumberFormat="1" applyFont="1" applyBorder="1"/>
    <xf numFmtId="164" fontId="35" fillId="18" borderId="0" xfId="126" applyNumberFormat="1"/>
    <xf numFmtId="0" fontId="36" fillId="12" borderId="4" xfId="118" applyFont="1" applyFill="1" applyBorder="1" applyProtection="1"/>
    <xf numFmtId="44" fontId="36" fillId="12" borderId="4" xfId="9" applyFont="1" applyFill="1" applyBorder="1" applyProtection="1"/>
    <xf numFmtId="0" fontId="35" fillId="18" borderId="0" xfId="126" applyNumberFormat="1"/>
    <xf numFmtId="0" fontId="35" fillId="18" borderId="4" xfId="126" applyNumberFormat="1" applyBorder="1"/>
    <xf numFmtId="44" fontId="0" fillId="0" borderId="0" xfId="0" applyNumberFormat="1"/>
    <xf numFmtId="44" fontId="25" fillId="0" borderId="17" xfId="9" applyFont="1" applyFill="1" applyBorder="1" applyProtection="1"/>
    <xf numFmtId="14" fontId="6" fillId="0" borderId="0" xfId="127" applyNumberFormat="1" applyAlignment="1">
      <alignment horizontal="center"/>
    </xf>
    <xf numFmtId="0" fontId="6" fillId="0" borderId="0" xfId="127" applyAlignment="1">
      <alignment horizontal="center"/>
    </xf>
    <xf numFmtId="0" fontId="37" fillId="0" borderId="0" xfId="118" applyFont="1"/>
    <xf numFmtId="44" fontId="38" fillId="0" borderId="0" xfId="9" applyFont="1"/>
    <xf numFmtId="0" fontId="0" fillId="0" borderId="0" xfId="0" applyAlignment="1">
      <alignment horizontal="center" vertical="center"/>
    </xf>
    <xf numFmtId="0" fontId="5" fillId="0" borderId="0" xfId="129"/>
    <xf numFmtId="0" fontId="39" fillId="0" borderId="0" xfId="129" applyFont="1" applyAlignment="1">
      <alignment horizontal="center"/>
    </xf>
    <xf numFmtId="14" fontId="5" fillId="0" borderId="0" xfId="129" applyNumberFormat="1"/>
    <xf numFmtId="0" fontId="24" fillId="21" borderId="4" xfId="118" applyFill="1" applyBorder="1" applyProtection="1"/>
    <xf numFmtId="44" fontId="25" fillId="21" borderId="4" xfId="9" applyFont="1" applyFill="1" applyBorder="1" applyProtection="1"/>
    <xf numFmtId="0" fontId="24" fillId="22" borderId="4" xfId="118" applyFill="1" applyBorder="1" applyProtection="1"/>
    <xf numFmtId="44" fontId="24" fillId="22" borderId="4" xfId="9" applyFont="1" applyFill="1" applyBorder="1" applyProtection="1"/>
    <xf numFmtId="0" fontId="24" fillId="23" borderId="4" xfId="118" applyFill="1" applyBorder="1" applyProtection="1"/>
    <xf numFmtId="44" fontId="24" fillId="23" borderId="4" xfId="9" applyFont="1" applyFill="1" applyBorder="1" applyProtection="1"/>
    <xf numFmtId="14" fontId="4" fillId="0" borderId="0" xfId="127" applyNumberFormat="1" applyFont="1" applyAlignment="1">
      <alignment horizontal="center" vertical="center"/>
    </xf>
    <xf numFmtId="0" fontId="39" fillId="20" borderId="4" xfId="132" applyFont="1" applyBorder="1" applyProtection="1"/>
    <xf numFmtId="44" fontId="39" fillId="20" borderId="4" xfId="132" applyNumberFormat="1" applyFont="1" applyBorder="1" applyProtection="1"/>
    <xf numFmtId="0" fontId="0" fillId="0" borderId="0" xfId="0" applyNumberFormat="1"/>
    <xf numFmtId="2" fontId="0" fillId="0" borderId="0" xfId="0" applyNumberFormat="1"/>
    <xf numFmtId="0" fontId="41" fillId="0" borderId="0" xfId="0" applyFont="1"/>
    <xf numFmtId="1" fontId="0" fillId="0" borderId="0" xfId="0" applyNumberFormat="1" applyAlignment="1">
      <alignment horizontal="center"/>
    </xf>
    <xf numFmtId="44" fontId="6" fillId="0" borderId="0" xfId="9" applyFont="1" applyAlignment="1">
      <alignment horizontal="center"/>
    </xf>
    <xf numFmtId="44" fontId="15" fillId="0" borderId="0" xfId="9" applyFont="1" applyAlignment="1">
      <alignment horizontal="center"/>
    </xf>
    <xf numFmtId="44" fontId="8" fillId="0" borderId="0" xfId="9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 vertical="center"/>
    </xf>
    <xf numFmtId="0" fontId="8" fillId="0" borderId="0" xfId="9" applyNumberFormat="1" applyFont="1" applyAlignment="1">
      <alignment horizontal="center"/>
    </xf>
    <xf numFmtId="0" fontId="6" fillId="0" borderId="0" xfId="9" applyNumberFormat="1" applyFont="1" applyAlignment="1">
      <alignment horizontal="center"/>
    </xf>
    <xf numFmtId="0" fontId="15" fillId="0" borderId="0" xfId="9" applyNumberFormat="1" applyFont="1" applyAlignment="1">
      <alignment horizontal="center"/>
    </xf>
    <xf numFmtId="0" fontId="0" fillId="0" borderId="0" xfId="9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44" fillId="0" borderId="0" xfId="129" applyFont="1" applyAlignment="1">
      <alignment horizontal="center"/>
    </xf>
    <xf numFmtId="0" fontId="44" fillId="0" borderId="24" xfId="129" applyFont="1" applyFill="1" applyBorder="1" applyAlignment="1">
      <alignment horizontal="center"/>
    </xf>
    <xf numFmtId="0" fontId="3" fillId="0" borderId="0" xfId="127" applyNumberFormat="1" applyFont="1" applyAlignment="1">
      <alignment horizontal="left"/>
    </xf>
    <xf numFmtId="0" fontId="3" fillId="0" borderId="0" xfId="127" applyFont="1" applyAlignment="1">
      <alignment horizontal="left"/>
    </xf>
    <xf numFmtId="0" fontId="13" fillId="0" borderId="0" xfId="119" applyAlignment="1">
      <alignment horizontal="left"/>
    </xf>
    <xf numFmtId="0" fontId="0" fillId="0" borderId="0" xfId="9" applyNumberFormat="1" applyFont="1" applyAlignment="1">
      <alignment horizontal="left"/>
    </xf>
    <xf numFmtId="0" fontId="3" fillId="0" borderId="0" xfId="9" applyNumberFormat="1" applyFont="1" applyAlignment="1">
      <alignment horizontal="left"/>
    </xf>
    <xf numFmtId="0" fontId="13" fillId="0" borderId="0" xfId="119" applyNumberFormat="1" applyAlignment="1">
      <alignment horizontal="left"/>
    </xf>
    <xf numFmtId="0" fontId="0" fillId="0" borderId="0" xfId="0" applyNumberFormat="1" applyAlignment="1">
      <alignment horizontal="center"/>
    </xf>
    <xf numFmtId="0" fontId="2" fillId="0" borderId="0" xfId="127" applyFont="1" applyAlignment="1">
      <alignment horizontal="center"/>
    </xf>
    <xf numFmtId="44" fontId="46" fillId="0" borderId="0" xfId="9" applyFont="1"/>
    <xf numFmtId="44" fontId="46" fillId="0" borderId="0" xfId="0" applyNumberFormat="1" applyFont="1"/>
    <xf numFmtId="0" fontId="46" fillId="0" borderId="0" xfId="0" applyNumberFormat="1" applyFont="1"/>
    <xf numFmtId="166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129" applyFont="1" applyBorder="1"/>
    <xf numFmtId="0" fontId="5" fillId="0" borderId="0" xfId="129" applyBorder="1"/>
    <xf numFmtId="14" fontId="5" fillId="0" borderId="0" xfId="129" applyNumberFormat="1" applyBorder="1"/>
    <xf numFmtId="0" fontId="47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/>
    <xf numFmtId="0" fontId="0" fillId="0" borderId="0" xfId="0" applyNumberFormat="1" applyFill="1" applyBorder="1" applyAlignment="1" applyProtection="1"/>
    <xf numFmtId="44" fontId="0" fillId="0" borderId="0" xfId="0" applyNumberFormat="1" applyFill="1" applyBorder="1" applyAlignment="1" applyProtection="1">
      <alignment horizontal="center"/>
    </xf>
    <xf numFmtId="0" fontId="13" fillId="0" borderId="0" xfId="119" applyBorder="1"/>
    <xf numFmtId="6" fontId="5" fillId="0" borderId="0" xfId="129" applyNumberFormat="1" applyBorder="1"/>
    <xf numFmtId="14" fontId="42" fillId="0" borderId="0" xfId="117" applyNumberFormat="1" applyFont="1" applyAlignment="1">
      <alignment horizontal="center" vertical="center"/>
    </xf>
    <xf numFmtId="14" fontId="42" fillId="0" borderId="0" xfId="118" applyNumberFormat="1" applyFont="1" applyAlignment="1">
      <alignment horizontal="center" vertical="center"/>
    </xf>
    <xf numFmtId="0" fontId="43" fillId="0" borderId="0" xfId="118" applyFont="1" applyBorder="1" applyAlignment="1" applyProtection="1">
      <alignment horizontal="center" vertical="center"/>
    </xf>
    <xf numFmtId="14" fontId="45" fillId="0" borderId="0" xfId="118" applyNumberFormat="1" applyFont="1" applyAlignment="1">
      <alignment horizontal="center" vertical="center"/>
    </xf>
    <xf numFmtId="0" fontId="42" fillId="0" borderId="0" xfId="117" applyFont="1" applyAlignment="1">
      <alignment horizontal="center"/>
    </xf>
    <xf numFmtId="0" fontId="5" fillId="0" borderId="0" xfId="129" applyAlignment="1">
      <alignment horizontal="center"/>
    </xf>
    <xf numFmtId="14" fontId="21" fillId="11" borderId="0" xfId="0" applyNumberFormat="1" applyFont="1" applyFill="1" applyAlignment="1">
      <alignment horizontal="center"/>
    </xf>
    <xf numFmtId="0" fontId="21" fillId="11" borderId="0" xfId="0" applyFont="1" applyFill="1" applyAlignment="1">
      <alignment horizontal="center"/>
    </xf>
    <xf numFmtId="0" fontId="19" fillId="10" borderId="2" xfId="83" applyFont="1" applyFill="1" applyAlignment="1">
      <alignment horizontal="center"/>
    </xf>
    <xf numFmtId="0" fontId="19" fillId="19" borderId="2" xfId="83" applyFont="1" applyFill="1" applyAlignment="1">
      <alignment horizontal="center"/>
    </xf>
    <xf numFmtId="14" fontId="23" fillId="0" borderId="0" xfId="117" applyNumberFormat="1" applyBorder="1" applyAlignment="1" applyProtection="1">
      <alignment horizontal="center"/>
    </xf>
    <xf numFmtId="0" fontId="23" fillId="0" borderId="0" xfId="117" applyBorder="1" applyAlignment="1" applyProtection="1">
      <alignment horizontal="center"/>
    </xf>
    <xf numFmtId="14" fontId="28" fillId="16" borderId="5" xfId="120" applyNumberFormat="1" applyFont="1" applyFill="1" applyBorder="1" applyAlignment="1">
      <alignment horizontal="center" vertical="center" wrapText="1"/>
    </xf>
    <xf numFmtId="0" fontId="28" fillId="16" borderId="6" xfId="120" applyFont="1" applyFill="1" applyBorder="1" applyAlignment="1">
      <alignment horizontal="center" vertical="center" wrapText="1"/>
    </xf>
    <xf numFmtId="0" fontId="28" fillId="16" borderId="7" xfId="120" applyFont="1" applyFill="1" applyBorder="1" applyAlignment="1">
      <alignment horizontal="center" vertical="center" wrapText="1"/>
    </xf>
    <xf numFmtId="0" fontId="28" fillId="16" borderId="8" xfId="120" applyFont="1" applyFill="1" applyBorder="1" applyAlignment="1">
      <alignment horizontal="center" vertical="center" wrapText="1"/>
    </xf>
    <xf numFmtId="0" fontId="28" fillId="16" borderId="0" xfId="120" applyFont="1" applyFill="1" applyBorder="1" applyAlignment="1">
      <alignment horizontal="center" vertical="center" wrapText="1"/>
    </xf>
    <xf numFmtId="0" fontId="28" fillId="16" borderId="9" xfId="120" applyFont="1" applyFill="1" applyBorder="1" applyAlignment="1">
      <alignment horizontal="center" vertical="center" wrapText="1"/>
    </xf>
    <xf numFmtId="0" fontId="17" fillId="0" borderId="10" xfId="82" applyFill="1" applyBorder="1" applyAlignment="1">
      <alignment horizontal="center"/>
    </xf>
    <xf numFmtId="0" fontId="17" fillId="0" borderId="11" xfId="82" applyFill="1" applyBorder="1" applyAlignment="1">
      <alignment horizontal="center"/>
    </xf>
    <xf numFmtId="0" fontId="17" fillId="0" borderId="12" xfId="82" applyFill="1" applyBorder="1" applyAlignment="1">
      <alignment horizontal="center"/>
    </xf>
    <xf numFmtId="0" fontId="28" fillId="0" borderId="0" xfId="120" applyAlignment="1">
      <alignment horizontal="center"/>
    </xf>
    <xf numFmtId="0" fontId="23" fillId="0" borderId="0" xfId="117" applyAlignment="1">
      <alignment horizontal="center"/>
    </xf>
    <xf numFmtId="0" fontId="48" fillId="0" borderId="0" xfId="0" applyFont="1"/>
    <xf numFmtId="0" fontId="49" fillId="0" borderId="0" xfId="0" applyFont="1"/>
    <xf numFmtId="0" fontId="50" fillId="0" borderId="0" xfId="0" applyFont="1"/>
    <xf numFmtId="6" fontId="51" fillId="0" borderId="0" xfId="0" applyNumberFormat="1" applyFont="1"/>
    <xf numFmtId="6" fontId="48" fillId="0" borderId="0" xfId="0" applyNumberFormat="1" applyFont="1"/>
  </cellXfs>
  <cellStyles count="133">
    <cellStyle name="20% - Accent2" xfId="132" builtinId="34"/>
    <cellStyle name="40% - Accent6" xfId="124" builtinId="51"/>
    <cellStyle name="60% - Accent1" xfId="2" builtinId="32" customBuiltin="1"/>
    <cellStyle name="60% - Accent2" xfId="4" builtinId="36" customBuiltin="1"/>
    <cellStyle name="60% - Accent3" xfId="6" builtinId="40" customBuiltin="1"/>
    <cellStyle name="60% - Accent6" xfId="126" builtinId="52"/>
    <cellStyle name="Accent1" xfId="1" builtinId="29" customBuiltin="1"/>
    <cellStyle name="Accent2" xfId="3" builtinId="33" customBuiltin="1"/>
    <cellStyle name="Accent3" xfId="5" builtinId="37" customBuiltin="1"/>
    <cellStyle name="Accent4" xfId="7" builtinId="41" customBuiltin="1"/>
    <cellStyle name="Accent5" xfId="8" builtinId="45" customBuiltin="1"/>
    <cellStyle name="Currency" xfId="9" builtinId="4"/>
    <cellStyle name="Currency 2" xfId="122"/>
    <cellStyle name="Currency 3" xfId="128"/>
    <cellStyle name="Currency 4" xfId="13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Heading 1" xfId="82" builtinId="16"/>
    <cellStyle name="Heading 2" xfId="83" builtinId="17"/>
    <cellStyle name="Heading 4" xfId="118" builtinId="19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9" builtinId="8"/>
    <cellStyle name="Hyperlink 2" xfId="130"/>
    <cellStyle name="Normal" xfId="0" builtinId="0" customBuiltin="1"/>
    <cellStyle name="Normal 2" xfId="121"/>
    <cellStyle name="Normal 3" xfId="127"/>
    <cellStyle name="Normal 4" xfId="129"/>
    <cellStyle name="Percent" xfId="125" builtinId="5"/>
    <cellStyle name="Percent 2" xfId="123"/>
    <cellStyle name="Title" xfId="117" builtinId="15"/>
    <cellStyle name="Title 2" xfId="120"/>
    <cellStyle name="Total" xfId="116" builtinId="25"/>
  </cellStyles>
  <dxfs count="102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alignment horizontal="center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alignment horizontal="left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alignment horizontal="left" vertical="bottom" textRotation="0" wrapText="0" indent="0" relativeIndent="255" justifyLastLine="0" shrinkToFit="0" readingOrder="0"/>
    </dxf>
    <dxf>
      <alignment horizontal="left" vertical="bottom" textRotation="0" wrapText="0" indent="0" relativeIndent="255" justifyLastLine="0" shrinkToFit="0" readingOrder="0"/>
    </dxf>
    <dxf>
      <border outline="0">
        <bottom style="thick">
          <color rgb="FF83992A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center" textRotation="0" wrapText="0" indent="0" relativeIndent="255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numFmt numFmtId="0" formatCode="General"/>
      <alignment horizontal="center" textRotation="0" wrapText="0" indent="0" relativeIndent="255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1" formatCode="0"/>
      <alignment horizontal="center" vertical="bottom" textRotation="0" wrapText="0" indent="0" relativeIndent="255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2" formatCode="0.00"/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border outline="0">
        <bottom style="thick">
          <color rgb="FF83992A"/>
        </bottom>
      </border>
    </dxf>
    <dxf>
      <font>
        <strike val="0"/>
        <outline val="0"/>
        <shadow val="0"/>
        <u val="none"/>
        <vertAlign val="baseline"/>
        <sz val="15"/>
        <color theme="0"/>
        <name val="Garamond"/>
        <scheme val="minor"/>
      </font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scheme val="minor"/>
      </font>
      <alignment horizont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aramond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9" formatCode="m/d/yyyy"/>
      <alignment horizontal="center" vertical="bottom" textRotation="0" wrapText="0" indent="0" relativeIndent="255" justifyLastLine="0" shrinkToFit="0" readingOrder="0"/>
    </dxf>
    <dxf>
      <border outline="0">
        <bottom style="thick">
          <color theme="4"/>
        </bottom>
      </border>
    </dxf>
    <dxf>
      <font>
        <strike val="0"/>
        <outline val="0"/>
        <shadow val="0"/>
        <u val="none"/>
        <vertAlign val="baseline"/>
        <sz val="15"/>
        <color theme="0"/>
        <name val="Garamond"/>
        <scheme val="minor"/>
      </font>
    </dxf>
    <dxf>
      <font>
        <b/>
        <sz val="11"/>
        <color theme="1"/>
      </font>
    </dxf>
    <dxf>
      <fill>
        <patternFill patternType="solid">
          <fgColor theme="0"/>
          <bgColor rgb="FF7030A0"/>
        </patternFill>
      </fill>
      <border>
        <left style="thin">
          <color theme="1" tint="-0.499984740745262"/>
        </left>
        <right style="thin">
          <color theme="1" tint="-0.499984740745262"/>
        </right>
        <top style="thin">
          <color theme="1" tint="-0.499984740745262"/>
        </top>
        <bottom style="thin">
          <color theme="1" tint="-0.499984740745262"/>
        </bottom>
      </border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 tint="-0.24994659260841701"/>
          <bgColor theme="4" tint="-0.24994659260841701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4" tint="-0.24994659260841701"/>
          <bgColor theme="4" tint="-0.24994659260841701"/>
        </patternFill>
      </fill>
      <border>
        <bottom style="thick">
          <color theme="0"/>
        </bottom>
      </border>
    </dxf>
    <dxf>
      <font>
        <color theme="0"/>
      </font>
      <fill>
        <patternFill patternType="solid">
          <fgColor theme="4" tint="0.39994506668294322"/>
          <bgColor theme="4" tint="0.39994506668294322"/>
        </patternFill>
      </fill>
      <border>
        <vertical style="thin">
          <color theme="0"/>
        </vertical>
        <horizontal style="thin">
          <color theme="0"/>
        </horizontal>
      </border>
    </dxf>
    <dxf>
      <fill>
        <patternFill patternType="solid">
          <fgColor theme="7"/>
          <bgColor theme="7"/>
        </patternFill>
      </fill>
    </dxf>
    <dxf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/>
          <bgColor theme="7"/>
        </patternFill>
      </fill>
    </dxf>
    <dxf>
      <font>
        <b/>
        <color theme="0"/>
      </font>
      <fill>
        <patternFill patternType="solid">
          <fgColor theme="7" tint="-0.24994659260841701"/>
          <bgColor theme="7" tint="-0.24994659260841701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7" tint="-0.24994659260841701"/>
          <bgColor theme="7" tint="-0.24994659260841701"/>
        </patternFill>
      </fill>
      <border>
        <bottom style="thick">
          <color theme="0"/>
        </bottom>
      </border>
    </dxf>
    <dxf>
      <font>
        <color theme="0"/>
      </font>
      <fill>
        <patternFill patternType="solid">
          <fgColor theme="7" tint="0.39994506668294322"/>
          <bgColor theme="7" tint="0.39994506668294322"/>
        </patternFill>
      </fill>
      <border>
        <vertical style="thin">
          <color theme="0"/>
        </vertical>
        <horizontal style="thin">
          <color theme="0"/>
        </horizontal>
      </border>
    </dxf>
  </dxfs>
  <tableStyles count="3" defaultTableStyle="TableStyleMedium9" defaultPivotStyle="PivotStyleMedium4">
    <tableStyle name="Expense Report" pivot="0" count="7">
      <tableStyleElement type="wholeTable" dxfId="101"/>
      <tableStyleElement type="headerRow" dxfId="100"/>
      <tableStyleElement type="totalRow" dxfId="99"/>
      <tableStyleElement type="firstColumn" dxfId="98"/>
      <tableStyleElement type="lastColumn" dxfId="97"/>
      <tableStyleElement type="firstRowStripe" dxfId="96"/>
      <tableStyleElement type="firstColumnStripe" dxfId="95"/>
    </tableStyle>
    <tableStyle name="Expense Report 2" pivot="0" count="7">
      <tableStyleElement type="wholeTable" dxfId="94"/>
      <tableStyleElement type="headerRow" dxfId="93"/>
      <tableStyleElement type="totalRow" dxfId="92"/>
      <tableStyleElement type="firstColumn" dxfId="91"/>
      <tableStyleElement type="lastColumn" dxfId="90"/>
      <tableStyleElement type="firstRowStripe" dxfId="89"/>
      <tableStyleElement type="firstColumnStripe" dxfId="88"/>
    </tableStyle>
    <tableStyle name="Timeline Style 1" pivot="0" table="0" count="2">
      <tableStyleElement type="wholeTable" dxfId="87"/>
      <tableStyleElement type="headerRow" dxfId="86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E25C1"/>
      <color rgb="FF8A3C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A0A4C193-F2C1-4fcb-8827-314CF55A85BB}">
      <x15:dxfs count="6">
        <dxf>
          <fill>
            <patternFill patternType="solid">
              <fgColor theme="0" tint="-0.14999847407452621"/>
              <bgColor theme="0" tint="-0.14999847407452621"/>
            </patternFill>
          </fill>
        </dxf>
        <dxf>
          <fill>
            <patternFill patternType="solid">
              <fgColor theme="0"/>
              <bgColor theme="0"/>
            </patternFill>
          </fill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9"/>
            <color theme="1" tint="0.499984740745262"/>
          </font>
        </dxf>
        <dxf>
          <font>
            <sz val="10"/>
            <color theme="1" tint="0.499984740745262"/>
          </font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line Style 1">
          <x15:timelineStyleElements>
            <x15:timelineStyleElement type="selectionLabel" dxfId="5"/>
            <x15:timelineStyleElement type="timeLevel" dxfId="4"/>
            <x15:timelineStyleElement type="periodLabel1" dxfId="3"/>
            <x15:timelineStyleElement type="periodLabel2" dxfId="2"/>
            <x15:timelineStyleElement type="selectedTimeBlock" dxfId="1"/>
            <x15:timelineStyleElement type="unselectedTimeBlock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Forecasting!$B$1</c:f>
              <c:strCache>
                <c:ptCount val="1"/>
                <c:pt idx="0">
                  <c:v>Values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FFFFFF"/>
              </a:solidFill>
              <a:prstDash val="solid"/>
            </a:ln>
            <a:effectLst/>
          </c:spPr>
          <c:val>
            <c:numRef>
              <c:f>Forecasting!$B$2:$B$25</c:f>
              <c:numCache>
                <c:formatCode>_("$"* #,##0.00_);_("$"* \(#,##0.00\);_("$"* "-"??_);_(@_)</c:formatCode>
                <c:ptCount val="24"/>
                <c:pt idx="0">
                  <c:v>550000</c:v>
                </c:pt>
                <c:pt idx="1">
                  <c:v>546000</c:v>
                </c:pt>
                <c:pt idx="2">
                  <c:v>547000</c:v>
                </c:pt>
                <c:pt idx="3">
                  <c:v>550000</c:v>
                </c:pt>
                <c:pt idx="4">
                  <c:v>551000</c:v>
                </c:pt>
                <c:pt idx="5">
                  <c:v>549000</c:v>
                </c:pt>
                <c:pt idx="6">
                  <c:v>548000</c:v>
                </c:pt>
                <c:pt idx="7">
                  <c:v>547000</c:v>
                </c:pt>
                <c:pt idx="8">
                  <c:v>552000</c:v>
                </c:pt>
                <c:pt idx="9">
                  <c:v>553000</c:v>
                </c:pt>
                <c:pt idx="10">
                  <c:v>545000</c:v>
                </c:pt>
                <c:pt idx="11">
                  <c:v>549000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DC-43F3-9C2E-E331438D16E9}"/>
            </c:ext>
          </c:extLst>
        </c:ser>
        <c:ser>
          <c:idx val="1"/>
          <c:order val="1"/>
          <c:tx>
            <c:strRef>
              <c:f>Forecasting!$C$1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FFFFFF"/>
              </a:solidFill>
              <a:prstDash val="solid"/>
            </a:ln>
            <a:effectLst/>
          </c:spPr>
          <c:errBars>
            <c:errBarType val="both"/>
            <c:errValType val="cust"/>
            <c:plus>
              <c:numRef>
                <c:f>Forecasting!$D$2:$D$25</c:f>
                <c:numCache>
                  <c:formatCode>General</c:formatCode>
                  <c:ptCount val="24"/>
                  <c:pt idx="12">
                    <c:v>4776.3169694771013</c:v>
                  </c:pt>
                  <c:pt idx="13">
                    <c:v>4814.6815010850769</c:v>
                  </c:pt>
                  <c:pt idx="14">
                    <c:v>4853.3420946636315</c:v>
                  </c:pt>
                  <c:pt idx="15">
                    <c:v>4892.296394552548</c:v>
                  </c:pt>
                  <c:pt idx="16">
                    <c:v>4931.5420667629032</c:v>
                  </c:pt>
                  <c:pt idx="17">
                    <c:v>4971.6802410392283</c:v>
                  </c:pt>
                  <c:pt idx="18">
                    <c:v>5011.4969502163349</c:v>
                  </c:pt>
                  <c:pt idx="19">
                    <c:v>5051.598206896555</c:v>
                  </c:pt>
                  <c:pt idx="20">
                    <c:v>5091.9817685480848</c:v>
                  </c:pt>
                  <c:pt idx="21">
                    <c:v>5132.6454163863636</c:v>
                  </c:pt>
                  <c:pt idx="22">
                    <c:v>5174.1888245734881</c:v>
                  </c:pt>
                  <c:pt idx="23">
                    <c:v>5215.4013282134292</c:v>
                  </c:pt>
                </c:numCache>
              </c:numRef>
            </c:plus>
            <c:minus>
              <c:numRef>
                <c:f>Forecasting!$D$2:$D$25</c:f>
                <c:numCache>
                  <c:formatCode>General</c:formatCode>
                  <c:ptCount val="24"/>
                  <c:pt idx="12">
                    <c:v>4776.3169694771013</c:v>
                  </c:pt>
                  <c:pt idx="13">
                    <c:v>4814.6815010850769</c:v>
                  </c:pt>
                  <c:pt idx="14">
                    <c:v>4853.3420946636315</c:v>
                  </c:pt>
                  <c:pt idx="15">
                    <c:v>4892.296394552548</c:v>
                  </c:pt>
                  <c:pt idx="16">
                    <c:v>4931.5420667629032</c:v>
                  </c:pt>
                  <c:pt idx="17">
                    <c:v>4971.6802410392283</c:v>
                  </c:pt>
                  <c:pt idx="18">
                    <c:v>5011.4969502163349</c:v>
                  </c:pt>
                  <c:pt idx="19">
                    <c:v>5051.598206896555</c:v>
                  </c:pt>
                  <c:pt idx="20">
                    <c:v>5091.9817685480848</c:v>
                  </c:pt>
                  <c:pt idx="21">
                    <c:v>5132.6454163863636</c:v>
                  </c:pt>
                  <c:pt idx="22">
                    <c:v>5174.1888245734881</c:v>
                  </c:pt>
                  <c:pt idx="23">
                    <c:v>5215.4013282134292</c:v>
                  </c:pt>
                </c:numCache>
              </c:numRef>
            </c:minus>
            <c:spPr>
              <a:noFill/>
              <a:ln w="9525" cap="flat" cmpd="sng" algn="ctr">
                <a:solidFill>
                  <a:srgbClr val="595959">
                    <a:alpha val="40392"/>
                  </a:srgbClr>
                </a:solidFill>
                <a:prstDash val="solid"/>
                <a:round/>
              </a:ln>
              <a:effectLst/>
            </c:spPr>
          </c:errBars>
          <c:cat>
            <c:numRef>
              <c:f>Forecasting!$A$2:$A$25</c:f>
              <c:numCache>
                <c:formatCode>m/d/yyyy</c:formatCode>
                <c:ptCount val="2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43892</c:v>
                </c:pt>
                <c:pt idx="14">
                  <c:v>43921</c:v>
                </c:pt>
                <c:pt idx="15">
                  <c:v>43952</c:v>
                </c:pt>
                <c:pt idx="16">
                  <c:v>43982</c:v>
                </c:pt>
                <c:pt idx="17">
                  <c:v>44013</c:v>
                </c:pt>
                <c:pt idx="18">
                  <c:v>44043</c:v>
                </c:pt>
                <c:pt idx="19">
                  <c:v>44074</c:v>
                </c:pt>
                <c:pt idx="20">
                  <c:v>44105</c:v>
                </c:pt>
                <c:pt idx="21">
                  <c:v>44135</c:v>
                </c:pt>
                <c:pt idx="22">
                  <c:v>44166</c:v>
                </c:pt>
                <c:pt idx="23">
                  <c:v>44196</c:v>
                </c:pt>
              </c:numCache>
            </c:numRef>
          </c:cat>
          <c:val>
            <c:numRef>
              <c:f>Forecasting!$C$2:$C$25</c:f>
              <c:numCache>
                <c:formatCode>General</c:formatCode>
                <c:ptCount val="24"/>
                <c:pt idx="12" formatCode="_(&quot;$&quot;* #,##0.00_);_(&quot;$&quot;* \(#,##0.00\);_(&quot;$&quot;* &quot;-&quot;??_);_(@_)">
                  <c:v>548003.82264725864</c:v>
                </c:pt>
                <c:pt idx="13" formatCode="_(&quot;$&quot;* #,##0.00_);_(&quot;$&quot;* \(#,##0.00\);_(&quot;$&quot;* &quot;-&quot;??_);_(@_)">
                  <c:v>551961.56934770627</c:v>
                </c:pt>
                <c:pt idx="14" formatCode="_(&quot;$&quot;* #,##0.00_);_(&quot;$&quot;* \(#,##0.00\);_(&quot;$&quot;* &quot;-&quot;??_);_(@_)">
                  <c:v>552250.61444572511</c:v>
                </c:pt>
                <c:pt idx="15" formatCode="_(&quot;$&quot;* #,##0.00_);_(&quot;$&quot;* \(#,##0.00\);_(&quot;$&quot;* &quot;-&quot;??_);_(@_)">
                  <c:v>550222.07530027092</c:v>
                </c:pt>
                <c:pt idx="16" formatCode="_(&quot;$&quot;* #,##0.00_);_(&quot;$&quot;* \(#,##0.00\);_(&quot;$&quot;* &quot;-&quot;??_);_(@_)">
                  <c:v>548285.06829817861</c:v>
                </c:pt>
                <c:pt idx="17" formatCode="_(&quot;$&quot;* #,##0.00_);_(&quot;$&quot;* \(#,##0.00\);_(&quot;$&quot;* &quot;-&quot;??_);_(@_)">
                  <c:v>548490.90907209006</c:v>
                </c:pt>
                <c:pt idx="18" formatCode="_(&quot;$&quot;* #,##0.00_);_(&quot;$&quot;* \(#,##0.00\);_(&quot;$&quot;* &quot;-&quot;??_);_(@_)">
                  <c:v>552448.65577253758</c:v>
                </c:pt>
                <c:pt idx="19" formatCode="_(&quot;$&quot;* #,##0.00_);_(&quot;$&quot;* \(#,##0.00\);_(&quot;$&quot;* &quot;-&quot;??_);_(@_)">
                  <c:v>552737.70087055652</c:v>
                </c:pt>
                <c:pt idx="20" formatCode="_(&quot;$&quot;* #,##0.00_);_(&quot;$&quot;* \(#,##0.00\);_(&quot;$&quot;* &quot;-&quot;??_);_(@_)">
                  <c:v>550709.16172510223</c:v>
                </c:pt>
                <c:pt idx="21" formatCode="_(&quot;$&quot;* #,##0.00_);_(&quot;$&quot;* \(#,##0.00\);_(&quot;$&quot;* &quot;-&quot;??_);_(@_)">
                  <c:v>548772.15472301003</c:v>
                </c:pt>
                <c:pt idx="22" formatCode="_(&quot;$&quot;* #,##0.00_);_(&quot;$&quot;* \(#,##0.00\);_(&quot;$&quot;* &quot;-&quot;??_);_(@_)">
                  <c:v>548977.99549692136</c:v>
                </c:pt>
                <c:pt idx="23" formatCode="_(&quot;$&quot;* #,##0.00_);_(&quot;$&quot;* \(#,##0.00\);_(&quot;$&quot;* &quot;-&quot;??_);_(@_)">
                  <c:v>552935.74219736899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DC-43F3-9C2E-E331438D16E9}"/>
            </c:ext>
          </c:extLst>
        </c:ser>
        <c:gapWidth val="0"/>
        <c:overlap val="100"/>
        <c:axId val="111687936"/>
        <c:axId val="111693824"/>
      </c:barChart>
      <c:catAx>
        <c:axId val="111687936"/>
        <c:scaling>
          <c:orientation val="minMax"/>
        </c:scaling>
        <c:axPos val="b"/>
        <c:maj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93824"/>
        <c:crosses val="autoZero"/>
        <c:auto val="1"/>
        <c:lblAlgn val="ctr"/>
        <c:lblOffset val="100"/>
      </c:catAx>
      <c:valAx>
        <c:axId val="1116938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8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0</xdr:row>
      <xdr:rowOff>0</xdr:rowOff>
    </xdr:from>
    <xdr:to>
      <xdr:col>1</xdr:col>
      <xdr:colOff>2028825</xdr:colOff>
      <xdr:row>1</xdr:row>
      <xdr:rowOff>299086</xdr:rowOff>
    </xdr:to>
    <xdr:pic>
      <xdr:nvPicPr>
        <xdr:cNvPr id="2" name="Picture 1" descr="General ledger - Wikipedia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0"/>
          <a:ext cx="2619374" cy="946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1302398</xdr:colOff>
      <xdr:row>0</xdr:row>
      <xdr:rowOff>165230</xdr:rowOff>
    </xdr:from>
    <xdr:to>
      <xdr:col>1</xdr:col>
      <xdr:colOff>3314312</xdr:colOff>
      <xdr:row>2</xdr:row>
      <xdr:rowOff>160903</xdr:rowOff>
    </xdr:to>
    <xdr:pic>
      <xdr:nvPicPr>
        <xdr:cNvPr id="2" name="Picture 1" descr="符合居住正義的不動產投資模式 | 幣圖誌Bituzi - 挑戰市場規則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08" y="165230"/>
          <a:ext cx="2011914" cy="13369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38100</xdr:rowOff>
    </xdr:from>
    <xdr:to>
      <xdr:col>2</xdr:col>
      <xdr:colOff>534023</xdr:colOff>
      <xdr:row>1</xdr:row>
      <xdr:rowOff>282969</xdr:rowOff>
    </xdr:to>
    <xdr:pic>
      <xdr:nvPicPr>
        <xdr:cNvPr id="3" name="Picture 2" descr="Sports Car Vector | Free Vector Art at Vecteezy!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078" b="26666"/>
        <a:stretch/>
      </xdr:blipFill>
      <xdr:spPr>
        <a:xfrm>
          <a:off x="171450" y="38100"/>
          <a:ext cx="2497916" cy="892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528925</xdr:colOff>
      <xdr:row>0</xdr:row>
      <xdr:rowOff>0</xdr:rowOff>
    </xdr:from>
    <xdr:to>
      <xdr:col>8</xdr:col>
      <xdr:colOff>383203</xdr:colOff>
      <xdr:row>1</xdr:row>
      <xdr:rowOff>263525</xdr:rowOff>
    </xdr:to>
    <xdr:pic>
      <xdr:nvPicPr>
        <xdr:cNvPr id="3" name="Picture 2" descr="Understanding the Importance of Web Desig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4351" y="0"/>
          <a:ext cx="2668482" cy="12917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404125</xdr:colOff>
      <xdr:row>0</xdr:row>
      <xdr:rowOff>9525</xdr:rowOff>
    </xdr:from>
    <xdr:to>
      <xdr:col>6</xdr:col>
      <xdr:colOff>1276349</xdr:colOff>
      <xdr:row>1</xdr:row>
      <xdr:rowOff>266700</xdr:rowOff>
    </xdr:to>
    <xdr:pic>
      <xdr:nvPicPr>
        <xdr:cNvPr id="2" name="Picture 1" descr="File:Food Vendors in Downtown Vancouver - The Kaboom Box ...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ackgroundRemoval t="6373" b="89967" l="8519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23673" t="15643" r="21402" b="15558"/>
        <a:stretch/>
      </xdr:blipFill>
      <xdr:spPr>
        <a:xfrm>
          <a:off x="6928750" y="9525"/>
          <a:ext cx="1472299" cy="1038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98845</xdr:colOff>
      <xdr:row>56</xdr:row>
      <xdr:rowOff>143773</xdr:rowOff>
    </xdr:from>
    <xdr:to>
      <xdr:col>3</xdr:col>
      <xdr:colOff>260590</xdr:colOff>
      <xdr:row>56</xdr:row>
      <xdr:rowOff>145361</xdr:rowOff>
    </xdr:to>
    <xdr:cxnSp macro="">
      <xdr:nvCxnSpPr>
        <xdr:cNvPr id="5" name="Straight Connector 4"/>
        <xdr:cNvCxnSpPr/>
      </xdr:nvCxnSpPr>
      <xdr:spPr>
        <a:xfrm>
          <a:off x="4654670" y="11115495"/>
          <a:ext cx="16174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89859</xdr:colOff>
      <xdr:row>56</xdr:row>
      <xdr:rowOff>152759</xdr:rowOff>
    </xdr:from>
    <xdr:to>
      <xdr:col>3</xdr:col>
      <xdr:colOff>107831</xdr:colOff>
      <xdr:row>59</xdr:row>
      <xdr:rowOff>143773</xdr:rowOff>
    </xdr:to>
    <xdr:cxnSp macro="">
      <xdr:nvCxnSpPr>
        <xdr:cNvPr id="9" name="Straight Connector 8"/>
        <xdr:cNvCxnSpPr/>
      </xdr:nvCxnSpPr>
      <xdr:spPr>
        <a:xfrm rot="16200000" flipH="1">
          <a:off x="4362630" y="11407535"/>
          <a:ext cx="584080" cy="179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107831</xdr:colOff>
      <xdr:row>59</xdr:row>
      <xdr:rowOff>143773</xdr:rowOff>
    </xdr:from>
    <xdr:to>
      <xdr:col>3</xdr:col>
      <xdr:colOff>287548</xdr:colOff>
      <xdr:row>59</xdr:row>
      <xdr:rowOff>145361</xdr:rowOff>
    </xdr:to>
    <xdr:cxnSp macro="">
      <xdr:nvCxnSpPr>
        <xdr:cNvPr id="11" name="Straight Connector 10"/>
        <xdr:cNvCxnSpPr/>
      </xdr:nvCxnSpPr>
      <xdr:spPr>
        <a:xfrm>
          <a:off x="4663656" y="11708561"/>
          <a:ext cx="179717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62107</xdr:colOff>
      <xdr:row>56</xdr:row>
      <xdr:rowOff>153553</xdr:rowOff>
    </xdr:from>
    <xdr:to>
      <xdr:col>5</xdr:col>
      <xdr:colOff>63695</xdr:colOff>
      <xdr:row>59</xdr:row>
      <xdr:rowOff>162539</xdr:rowOff>
    </xdr:to>
    <xdr:cxnSp macro="">
      <xdr:nvCxnSpPr>
        <xdr:cNvPr id="13" name="Straight Connector 12"/>
        <xdr:cNvCxnSpPr/>
      </xdr:nvCxnSpPr>
      <xdr:spPr>
        <a:xfrm rot="5400000">
          <a:off x="6312559" y="11425507"/>
          <a:ext cx="602052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808726</xdr:colOff>
      <xdr:row>56</xdr:row>
      <xdr:rowOff>152759</xdr:rowOff>
    </xdr:from>
    <xdr:to>
      <xdr:col>5</xdr:col>
      <xdr:colOff>71887</xdr:colOff>
      <xdr:row>56</xdr:row>
      <xdr:rowOff>161745</xdr:rowOff>
    </xdr:to>
    <xdr:cxnSp macro="">
      <xdr:nvCxnSpPr>
        <xdr:cNvPr id="15" name="Straight Connector 14"/>
        <xdr:cNvCxnSpPr/>
      </xdr:nvCxnSpPr>
      <xdr:spPr>
        <a:xfrm rot="10800000">
          <a:off x="6361981" y="11124481"/>
          <a:ext cx="260590" cy="898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853656</xdr:colOff>
      <xdr:row>59</xdr:row>
      <xdr:rowOff>179717</xdr:rowOff>
    </xdr:from>
    <xdr:to>
      <xdr:col>5</xdr:col>
      <xdr:colOff>62902</xdr:colOff>
      <xdr:row>59</xdr:row>
      <xdr:rowOff>181305</xdr:rowOff>
    </xdr:to>
    <xdr:cxnSp macro="">
      <xdr:nvCxnSpPr>
        <xdr:cNvPr id="17" name="Straight Connector 16"/>
        <xdr:cNvCxnSpPr/>
      </xdr:nvCxnSpPr>
      <xdr:spPr>
        <a:xfrm rot="10800000">
          <a:off x="6406911" y="11744505"/>
          <a:ext cx="20667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487680</xdr:colOff>
      <xdr:row>7</xdr:row>
      <xdr:rowOff>49530</xdr:rowOff>
    </xdr:from>
    <xdr:to>
      <xdr:col>15</xdr:col>
      <xdr:colOff>525780</xdr:colOff>
      <xdr:row>22</xdr:row>
      <xdr:rowOff>11430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0</xdr:row>
      <xdr:rowOff>182880</xdr:rowOff>
    </xdr:from>
    <xdr:to>
      <xdr:col>9</xdr:col>
      <xdr:colOff>15240</xdr:colOff>
      <xdr:row>5</xdr:row>
      <xdr:rowOff>7620</xdr:rowOff>
    </xdr:to>
    <xdr:sp macro="" textlink="">
      <xdr:nvSpPr>
        <xdr:cNvPr id="3" name="TextBox 2"/>
        <xdr:cNvSpPr txBox="1"/>
      </xdr:nvSpPr>
      <xdr:spPr>
        <a:xfrm>
          <a:off x="5151120" y="182880"/>
          <a:ext cx="1844040" cy="815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Source: Company XYZ provided monthly low-end</a:t>
          </a:r>
        </a:p>
        <a:p>
          <a:r>
            <a:rPr lang="en-US" sz="1100"/>
            <a:t>sales figures for our forecasting</a:t>
          </a:r>
          <a:r>
            <a:rPr lang="en-US" sz="1100" baseline="0"/>
            <a:t> needs</a:t>
          </a:r>
          <a:endParaRPr lang="en-US" sz="1100"/>
        </a:p>
      </xdr:txBody>
    </xdr:sp>
    <xdr:clientData/>
  </xdr:twoCellAnchor>
</xdr:wsDr>
</file>

<file path=xl/tables/table1.xml><?xml version="1.0" encoding="utf-8"?>
<table xmlns="http://schemas.openxmlformats.org/spreadsheetml/2006/main" id="1" name="Ledger" displayName="Ledger" ref="A3:J4" headerRowDxfId="85" headerRowBorderDxfId="84">
  <autoFilter ref="A3:J4"/>
  <sortState ref="A4:J13">
    <sortCondition ref="A3:A13"/>
  </sortState>
  <tableColumns count="10">
    <tableColumn id="1" name="Date" totalsRowLabel="Total" dataDxfId="83" totalsRowDxfId="82" dataCellStyle="Normal 3"/>
    <tableColumn id="3" name="Account" dataDxfId="81" totalsRowDxfId="80" dataCellStyle="Normal 3"/>
    <tableColumn id="4" name="Memo/Description" dataDxfId="79" totalsRowDxfId="78" dataCellStyle="Normal 3"/>
    <tableColumn id="5" name="Cash In" totalsRowFunction="sum" dataDxfId="77" totalsRowDxfId="76" dataCellStyle="Currency"/>
    <tableColumn id="6" name="Cash Out" totalsRowFunction="sum" dataDxfId="75" totalsRowDxfId="74" dataCellStyle="Currency"/>
    <tableColumn id="7" name="Type" dataDxfId="73" totalsRowDxfId="72" dataCellStyle="Normal 3"/>
    <tableColumn id="8" name="Reference #" dataDxfId="71" totalsRowDxfId="70" dataCellStyle="Currency"/>
    <tableColumn id="9" name="Transaction Classification" dataDxfId="69" totalsRowDxfId="68" dataCellStyle="Normal 3"/>
    <tableColumn id="10" name="Calculation" totalsRowFunction="sum" dataDxfId="67">
      <calculatedColumnFormula>IF([Date]="",0,MONTH([Date]))</calculatedColumnFormula>
    </tableColumn>
    <tableColumn id="2" name="Month" dataDxfId="66">
      <calculatedColumnFormula>VLOOKUP([Calculation],Classifications!$E$50:$F$62,2,FALSE)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D25" totalsRowShown="0">
  <autoFilter ref="A1:D25"/>
  <tableColumns count="4">
    <tableColumn id="1" name="Timeline" dataDxfId="2"/>
    <tableColumn id="2" name="Values"/>
    <tableColumn id="3" name="Forecast" dataDxfId="1">
      <calculatedColumnFormula>_xlfn.FORECAST.ETS(A2,$B$2:$B$13,$A$2:$A$13,5,1)</calculatedColumnFormula>
    </tableColumn>
    <tableColumn id="4" name="Confidence Interval" dataDxfId="0">
      <calculatedColumnFormula>_xlfn.FORECAST.ETS.CONFINT(A2,$B$2:$B$13,$A$2:$A$13,0.99,5,1)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7" name="Miles" displayName="Miles" ref="A3:J5" totalsRowCount="1" headerRowDxfId="65" headerRowBorderDxfId="64">
  <autoFilter ref="A3:J4"/>
  <sortState ref="A4:J13">
    <sortCondition ref="A3:A13"/>
  </sortState>
  <tableColumns count="10">
    <tableColumn id="1" name="Trip Date" totalsRowFunction="count" dataDxfId="63" totalsRowDxfId="62" dataCellStyle="Normal 3"/>
    <tableColumn id="3" name="Calculation" totalsRowLabel="12670" dataDxfId="61" totalsRowDxfId="60" dataCellStyle="Normal 3"/>
    <tableColumn id="4" name="Month" totalsRowFunction="average" dataDxfId="59" totalsRowDxfId="58" dataCellStyle="Normal 3"/>
    <tableColumn id="5" name="Odometer Start" totalsRowLabel="3460" dataDxfId="57" totalsRowDxfId="56" dataCellStyle="Currency"/>
    <tableColumn id="6" name="Odometer End" totalsRowLabel="21090" dataDxfId="55" totalsRowDxfId="54" dataCellStyle="Currency"/>
    <tableColumn id="7" name="Mileage Purpose" totalsRowLabel="5600" dataDxfId="53" totalsRowDxfId="52" dataCellStyle="Normal 3"/>
    <tableColumn id="8" name="Miles" totalsRowFunction="sum" dataDxfId="51" totalsRowDxfId="50" dataCellStyle="Currency"/>
    <tableColumn id="9" name="Mileage Expense" totalsRowLabel=" $23,000.00 " dataDxfId="49" totalsRowDxfId="48" dataCellStyle="Currency">
      <calculatedColumnFormula>[Miles]*'IRS Mileage'!$B$4</calculatedColumnFormula>
    </tableColumn>
    <tableColumn id="10" name="Calculation2" totalsRowFunction="sum" dataDxfId="47">
      <calculatedColumnFormula>IF([Trip Date]="",0,MONTH([Trip Date]))</calculatedColumnFormula>
    </tableColumn>
    <tableColumn id="2" name="Month3" dataDxfId="46">
      <calculatedColumnFormula>VLOOKUP([Calculation2],Classifications!$E$50:$F$62,2,FALSE)</calculatedColumnFormula>
    </tableColumn>
  </tableColumns>
  <tableStyleInfo name="TableStyleLight12" showFirstColumn="0" showLastColumn="0" showRowStripes="1" showColumnStripes="0"/>
</table>
</file>

<file path=xl/tables/table3.xml><?xml version="1.0" encoding="utf-8"?>
<table xmlns="http://schemas.openxmlformats.org/spreadsheetml/2006/main" id="8" name="Ledger9" displayName="Ledger9" ref="A3:P4" headerRowDxfId="45" dataDxfId="43" headerRowBorderDxfId="44" headerRowCellStyle="Normal 4">
  <autoFilter ref="A3:P4"/>
  <sortState ref="A4:J13">
    <sortCondition ref="A3:A13"/>
  </sortState>
  <tableColumns count="16">
    <tableColumn id="1" name="Name" totalsRowLabel="Total" dataDxfId="42" totalsRowDxfId="41" dataCellStyle="Normal 3"/>
    <tableColumn id="3" name="Company" dataDxfId="40" totalsRowDxfId="39" dataCellStyle="Normal 3"/>
    <tableColumn id="4" name="Email" dataDxfId="38" totalsRowDxfId="37" dataCellStyle="Hyperlink"/>
    <tableColumn id="5" name="Phone" totalsRowFunction="sum" dataDxfId="36" totalsRowDxfId="35" dataCellStyle="Currency"/>
    <tableColumn id="6" name="Mobile" totalsRowFunction="sum" dataDxfId="34" totalsRowDxfId="33" dataCellStyle="Currency"/>
    <tableColumn id="7" name="Fax" dataDxfId="32" totalsRowDxfId="31" dataCellStyle="Normal 3"/>
    <tableColumn id="8" name="Website" dataDxfId="30" totalsRowDxfId="29" dataCellStyle="Hyperlink"/>
    <tableColumn id="9" name="Street" dataDxfId="28" totalsRowDxfId="27" dataCellStyle="Normal 3"/>
    <tableColumn id="10" name="City" totalsRowFunction="sum" dataDxfId="26"/>
    <tableColumn id="2" name="State" dataDxfId="25"/>
    <tableColumn id="11" name="ZIP" dataDxfId="24"/>
    <tableColumn id="12" name="Country" dataDxfId="23"/>
    <tableColumn id="13" name="Opening Balance" dataDxfId="22"/>
    <tableColumn id="14" name="Opening Balance Date" dataDxfId="21"/>
    <tableColumn id="15" name="Tax Resale No." dataDxfId="20"/>
    <tableColumn id="16" name="Customer Type" dataDxfId="19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id="6" name="Vendors" displayName="Vendors" ref="A3:O5" totalsRowShown="0" headerRowDxfId="18">
  <autoFilter ref="A3:O5"/>
  <sortState ref="A4:O5">
    <sortCondition ref="K3:K5"/>
  </sortState>
  <tableColumns count="15">
    <tableColumn id="1" name="Name"/>
    <tableColumn id="2" name="Company"/>
    <tableColumn id="3" name="Email"/>
    <tableColumn id="4" name="Phone"/>
    <tableColumn id="5" name="Mobile"/>
    <tableColumn id="6" name="Fax"/>
    <tableColumn id="7" name="Website"/>
    <tableColumn id="8" name="Street"/>
    <tableColumn id="9" name="City"/>
    <tableColumn id="10" name="State"/>
    <tableColumn id="11" name="ZIP"/>
    <tableColumn id="12" name="Country"/>
    <tableColumn id="13" name="Opening Balance"/>
    <tableColumn id="14" name="Opening Balance Date" dataDxfId="17"/>
    <tableColumn id="15" name="Tax ID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2" name="StartingInventory" displayName="StartingInventory" ref="A2:E7" totalsRowCount="1">
  <autoFilter ref="A2:E6"/>
  <tableColumns count="5">
    <tableColumn id="1" name="Model" totalsRowLabel="Total"/>
    <tableColumn id="2" name="Price Per Model" totalsRowFunction="average" dataDxfId="16" totalsRowDxfId="15" dataCellStyle="Currency"/>
    <tableColumn id="3" name="Quantity"/>
    <tableColumn id="4" name="Total" totalsRowFunction="sum" dataDxfId="14" totalsRowDxfId="13">
      <calculatedColumnFormula>B3*C3</calculatedColumnFormula>
    </tableColumn>
    <tableColumn id="5" name="Markup" totalsRowFunction="average" dataCellStyle="Currency">
      <calculatedColumnFormula>StartingInventory[[#This Row],[Price Per Model]]*120%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id="3" name="Table3" displayName="Table3" ref="A2:B10" totalsRowCount="1">
  <autoFilter ref="A2:B9"/>
  <tableColumns count="2">
    <tableColumn id="1" name="Policy Type" totalsRowLabel="Total"/>
    <tableColumn id="2" name="Premium" totalsRowFunction="sum" dataDxfId="12" totalsRowDxfId="11" dataCellStyle="Currency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A1:B5" totalsRowCount="1">
  <autoFilter ref="A1:B4"/>
  <tableColumns count="2">
    <tableColumn id="1" name="License Type" totalsRowLabel="Total"/>
    <tableColumn id="2" name="Cost" totalsRowFunction="sum" dataDxfId="10" totalsRowDxfId="9" dataCellStyle="Currency"/>
  </tableColumns>
  <tableStyleInfo name="TableStyleLight11"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A2:D10" totalsRowCount="1">
  <autoFilter ref="A2:D9"/>
  <tableColumns count="4">
    <tableColumn id="1" name="Asset" totalsRowLabel="Total"/>
    <tableColumn id="2" name="Quantity"/>
    <tableColumn id="3" name="Cost" dataDxfId="8" totalsRowDxfId="7" dataCellStyle="Currency"/>
    <tableColumn id="4" name="Total Cost" totalsRowFunction="sum" dataCellStyle="Currency">
      <calculatedColumnFormula>Table5[[#This Row],[Quantity]]*Table5[[#This Row],[Cost]]</calculatedColumnFormula>
    </tableColumn>
  </tableColumns>
  <tableStyleInfo name="TableStyleLight11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2:D7" totalsRowCount="1">
  <autoFilter ref="A2:D6"/>
  <tableColumns count="4">
    <tableColumn id="1" name="Job Title" totalsRowLabel="Total"/>
    <tableColumn id="2" name="Quantity"/>
    <tableColumn id="3" name="Salary" dataDxfId="6" totalsRowDxfId="5" dataCellStyle="Currency"/>
    <tableColumn id="4" name="Monthly Cost" totalsRowFunction="sum" dataDxfId="4" totalsRowDxfId="3" dataCellStyle="Currency">
      <calculatedColumnFormula>(C3/12)*[Quantity]</calculatedColumnFormula>
    </tableColumn>
  </tableColumns>
  <tableStyleInfo name="TableStyleLight1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rganic">
  <a:themeElements>
    <a:clrScheme name="Organic">
      <a:dk1>
        <a:sysClr val="windowText" lastClr="000000"/>
      </a:dk1>
      <a:lt1>
        <a:sysClr val="window" lastClr="FFFFFF"/>
      </a:lt1>
      <a:dk2>
        <a:srgbClr val="212121"/>
      </a:dk2>
      <a:lt2>
        <a:srgbClr val="DADADA"/>
      </a:lt2>
      <a:accent1>
        <a:srgbClr val="83992A"/>
      </a:accent1>
      <a:accent2>
        <a:srgbClr val="3C9770"/>
      </a:accent2>
      <a:accent3>
        <a:srgbClr val="44709D"/>
      </a:accent3>
      <a:accent4>
        <a:srgbClr val="A23C33"/>
      </a:accent4>
      <a:accent5>
        <a:srgbClr val="D97828"/>
      </a:accent5>
      <a:accent6>
        <a:srgbClr val="DEB340"/>
      </a:accent6>
      <a:hlink>
        <a:srgbClr val="A8BF4D"/>
      </a:hlink>
      <a:folHlink>
        <a:srgbClr val="B4CA80"/>
      </a:folHlink>
    </a:clrScheme>
    <a:fontScheme name="Organic">
      <a:majorFont>
        <a:latin typeface="Garamond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rganic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rganic" id="{28CDC826-8792-45C0-861B-85EB3ADEDA33}" vid="{7DAC20F1-423D-49E2-BD0B-50532748BAD0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hyperlink" Target="mailto:unitedway@uwlafayette.org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rs.gov/tax-professionals/standard-mileage-r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J33"/>
  <sheetViews>
    <sheetView zoomScale="132" zoomScaleNormal="132" zoomScalePageLayoutView="95" workbookViewId="0">
      <selection activeCell="H4" sqref="H4"/>
    </sheetView>
  </sheetViews>
  <sheetFormatPr defaultColWidth="11" defaultRowHeight="15.75"/>
  <cols>
    <col min="1" max="1" width="9.875" style="6" bestFit="1" customWidth="1"/>
    <col min="2" max="2" width="29.625" style="6" customWidth="1"/>
    <col min="3" max="3" width="44.625" style="8" customWidth="1"/>
    <col min="4" max="4" width="13.125" style="5" bestFit="1" customWidth="1"/>
    <col min="5" max="5" width="14.625" style="5" bestFit="1" customWidth="1"/>
    <col min="6" max="6" width="9.375" style="5" bestFit="1" customWidth="1"/>
    <col min="7" max="7" width="17.125" style="8" bestFit="1" customWidth="1"/>
    <col min="8" max="8" width="37" style="8" bestFit="1" customWidth="1"/>
    <col min="9" max="9" width="15.625" hidden="1" customWidth="1"/>
    <col min="10" max="10" width="0" hidden="1" customWidth="1"/>
  </cols>
  <sheetData>
    <row r="1" spans="1:10" ht="51" customHeight="1">
      <c r="A1" s="141"/>
      <c r="B1" s="141"/>
      <c r="C1" s="141"/>
      <c r="D1" s="141"/>
      <c r="E1" s="141"/>
      <c r="F1" s="141"/>
      <c r="G1" s="141"/>
      <c r="H1" s="141"/>
    </row>
    <row r="2" spans="1:10" ht="25.5" customHeight="1">
      <c r="A2" s="142" t="s">
        <v>140</v>
      </c>
      <c r="B2" s="142"/>
      <c r="C2" s="142"/>
      <c r="D2" s="142"/>
      <c r="E2" s="142"/>
      <c r="F2" s="142"/>
      <c r="G2" s="142"/>
      <c r="H2" s="142"/>
    </row>
    <row r="3" spans="1:10" ht="15" customHeight="1">
      <c r="A3" s="87" t="s">
        <v>0</v>
      </c>
      <c r="B3" s="87" t="s">
        <v>60</v>
      </c>
      <c r="C3" s="87" t="s">
        <v>142</v>
      </c>
      <c r="D3" s="87" t="s">
        <v>1</v>
      </c>
      <c r="E3" s="87" t="s">
        <v>6</v>
      </c>
      <c r="F3" s="87" t="s">
        <v>40</v>
      </c>
      <c r="G3" s="87" t="s">
        <v>5</v>
      </c>
      <c r="H3" s="87" t="s">
        <v>174</v>
      </c>
      <c r="I3" s="97" t="s">
        <v>177</v>
      </c>
      <c r="J3" s="97" t="s">
        <v>175</v>
      </c>
    </row>
    <row r="4" spans="1:10" ht="15" customHeight="1">
      <c r="A4" s="83">
        <v>44197</v>
      </c>
      <c r="B4" s="123" t="s">
        <v>182</v>
      </c>
      <c r="C4" s="123" t="s">
        <v>183</v>
      </c>
      <c r="D4" s="106"/>
      <c r="E4" s="104">
        <v>-800</v>
      </c>
      <c r="F4" s="84" t="s">
        <v>44</v>
      </c>
      <c r="G4" s="5">
        <v>1001</v>
      </c>
      <c r="H4" s="83" t="s">
        <v>137</v>
      </c>
      <c r="I4" s="8">
        <f>IF([Date]="",0,MONTH([Date]))</f>
        <v>1</v>
      </c>
      <c r="J4" s="8" t="str">
        <f>VLOOKUP([Calculation],Classifications!$E$50:$F$62,2,FALSE)</f>
        <v>January</v>
      </c>
    </row>
    <row r="5" spans="1:10">
      <c r="D5" s="105"/>
      <c r="F5" s="8"/>
    </row>
    <row r="6" spans="1:10">
      <c r="D6" s="105"/>
      <c r="F6" s="8"/>
    </row>
    <row r="7" spans="1:10" ht="18">
      <c r="F7" s="8"/>
      <c r="G7" s="13"/>
    </row>
    <row r="8" spans="1:10">
      <c r="F8" s="8"/>
    </row>
    <row r="9" spans="1:10">
      <c r="F9" s="8"/>
    </row>
    <row r="13" spans="1:10">
      <c r="D13" s="12"/>
      <c r="E13" s="12"/>
      <c r="F13" s="12"/>
      <c r="G13" s="4"/>
      <c r="H13" s="4"/>
    </row>
    <row r="14" spans="1:10">
      <c r="G14" s="9"/>
    </row>
    <row r="15" spans="1:10">
      <c r="D15" s="105"/>
      <c r="G15" s="9"/>
      <c r="H15" s="4"/>
    </row>
    <row r="19" spans="4:8">
      <c r="D19" s="106"/>
      <c r="H19" s="4"/>
    </row>
    <row r="20" spans="4:8">
      <c r="D20" s="105"/>
      <c r="G20" s="9"/>
      <c r="H20" s="4"/>
    </row>
    <row r="21" spans="4:8">
      <c r="D21" s="105"/>
      <c r="H21" s="4"/>
    </row>
    <row r="23" spans="4:8">
      <c r="D23" s="105"/>
      <c r="H23" s="2"/>
    </row>
    <row r="24" spans="4:8">
      <c r="D24" s="105"/>
      <c r="H24" s="2"/>
    </row>
    <row r="25" spans="4:8">
      <c r="D25" s="105"/>
      <c r="H25" s="2"/>
    </row>
    <row r="29" spans="4:8">
      <c r="D29" s="105"/>
      <c r="H29" s="2"/>
    </row>
    <row r="30" spans="4:8">
      <c r="D30" s="105"/>
      <c r="H30" s="2"/>
    </row>
    <row r="33" spans="4:8">
      <c r="D33" s="105"/>
      <c r="H33" s="2"/>
    </row>
  </sheetData>
  <mergeCells count="2">
    <mergeCell ref="A1:H1"/>
    <mergeCell ref="A2:H2"/>
  </mergeCells>
  <phoneticPr fontId="16" type="noConversion"/>
  <pageMargins left="0.75" right="0.75" top="1" bottom="1" header="0.5" footer="0.5"/>
  <pageSetup orientation="portrait" verticalDpi="0" r:id="rId1"/>
  <drawing r:id="rId2"/>
  <tableParts count="1">
    <tablePart r:id="rId3"/>
  </tableParts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showErrorMessage="1">
          <x14:formula1>
            <xm:f>Classifications!$A$1:$A$33</xm:f>
          </x14:formula1>
          <xm:sqref>H4:H1048576</xm:sqref>
        </x14:dataValidation>
        <x14:dataValidation type="list" allowBlank="1" showErrorMessage="1">
          <x14:formula1>
            <xm:f>Classifications!$A$35:$A$39</xm:f>
          </x14:formula1>
          <xm:sqref>F4:F1048576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/>
    <pageSetUpPr fitToPage="1"/>
  </sheetPr>
  <dimension ref="A1:P44"/>
  <sheetViews>
    <sheetView topLeftCell="F11" zoomScale="106" zoomScaleNormal="106" zoomScalePageLayoutView="91" workbookViewId="0">
      <selection activeCell="O37" sqref="O37"/>
    </sheetView>
  </sheetViews>
  <sheetFormatPr defaultColWidth="8.875" defaultRowHeight="15.75"/>
  <cols>
    <col min="1" max="1" width="2.125" customWidth="1"/>
    <col min="2" max="2" width="44.625" customWidth="1"/>
    <col min="3" max="15" width="13.125" customWidth="1"/>
    <col min="16" max="16" width="12.125" customWidth="1"/>
  </cols>
  <sheetData>
    <row r="1" spans="1:16" ht="23.25" hidden="1">
      <c r="A1" s="151">
        <f>Transactions!A1</f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</row>
    <row r="2" spans="1:16" ht="23.25">
      <c r="A2" s="152" t="s">
        <v>184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</row>
    <row r="3" spans="1:16">
      <c r="A3" s="17"/>
      <c r="B3" s="17"/>
      <c r="C3" s="18" t="s">
        <v>95</v>
      </c>
      <c r="D3" s="18" t="s">
        <v>61</v>
      </c>
      <c r="E3" s="18" t="s">
        <v>62</v>
      </c>
      <c r="F3" s="18" t="s">
        <v>63</v>
      </c>
      <c r="G3" s="18" t="s">
        <v>64</v>
      </c>
      <c r="H3" s="18" t="s">
        <v>65</v>
      </c>
      <c r="I3" s="18" t="s">
        <v>66</v>
      </c>
      <c r="J3" s="18" t="s">
        <v>67</v>
      </c>
      <c r="K3" s="18" t="s">
        <v>68</v>
      </c>
      <c r="L3" s="18" t="s">
        <v>69</v>
      </c>
      <c r="M3" s="18" t="s">
        <v>70</v>
      </c>
      <c r="N3" s="18" t="s">
        <v>71</v>
      </c>
      <c r="O3" s="18" t="s">
        <v>72</v>
      </c>
    </row>
    <row r="4" spans="1:16">
      <c r="A4" s="17"/>
      <c r="B4" s="25" t="s">
        <v>78</v>
      </c>
      <c r="C4" s="26">
        <v>250000</v>
      </c>
      <c r="D4" s="26">
        <f>C41</f>
        <v>-144643</v>
      </c>
      <c r="E4" s="26">
        <f>D41</f>
        <v>-339545.55093050568</v>
      </c>
      <c r="F4" s="26">
        <f t="shared" ref="F4:O4" si="0">E41</f>
        <v>-363218.24249558611</v>
      </c>
      <c r="G4" s="26">
        <f t="shared" si="0"/>
        <v>-421241.34121754864</v>
      </c>
      <c r="H4" s="26">
        <f t="shared" si="0"/>
        <v>-531316.55212769262</v>
      </c>
      <c r="I4" s="26">
        <f t="shared" si="0"/>
        <v>-631081.91968982434</v>
      </c>
      <c r="J4" s="26">
        <f t="shared" si="0"/>
        <v>-626911.73851674015</v>
      </c>
      <c r="K4" s="26">
        <f t="shared" si="0"/>
        <v>-531401.69797823089</v>
      </c>
      <c r="L4" s="26">
        <f t="shared" si="0"/>
        <v>-439867.06459660357</v>
      </c>
      <c r="M4" s="26">
        <f t="shared" si="0"/>
        <v>-445799.54340315785</v>
      </c>
      <c r="N4" s="26">
        <f t="shared" si="0"/>
        <v>-445782.17886169971</v>
      </c>
      <c r="O4" s="26">
        <f t="shared" si="0"/>
        <v>-496579.26558502583</v>
      </c>
    </row>
    <row r="5" spans="1:16">
      <c r="A5" s="17"/>
      <c r="B5" s="17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</row>
    <row r="6" spans="1:16">
      <c r="A6" s="17"/>
      <c r="B6" s="30" t="s">
        <v>74</v>
      </c>
      <c r="C6" s="80"/>
      <c r="D6" s="24">
        <f t="array" ref="D6:O6">TRANSPOSE(Forecasting!C14:C25)</f>
        <v>548003.82264725864</v>
      </c>
      <c r="E6" s="24">
        <v>551961.56934770627</v>
      </c>
      <c r="F6" s="24">
        <v>552250.61444572511</v>
      </c>
      <c r="G6" s="24">
        <v>550222.07530027092</v>
      </c>
      <c r="H6" s="24">
        <v>548285.06829817861</v>
      </c>
      <c r="I6" s="24">
        <v>548490.90907209006</v>
      </c>
      <c r="J6" s="24">
        <v>552448.65577253758</v>
      </c>
      <c r="K6" s="24">
        <v>552737.70087055652</v>
      </c>
      <c r="L6" s="24">
        <v>550709.16172510223</v>
      </c>
      <c r="M6" s="24">
        <v>548772.15472301003</v>
      </c>
      <c r="N6" s="24">
        <v>548977.99549692136</v>
      </c>
      <c r="O6" s="24">
        <v>552935.74219736899</v>
      </c>
      <c r="P6" s="81"/>
    </row>
    <row r="7" spans="1:16">
      <c r="A7" s="17"/>
      <c r="B7" s="30" t="s">
        <v>73</v>
      </c>
      <c r="C7" s="24">
        <f>StartingInventory[[#Totals],[Total]]</f>
        <v>470000</v>
      </c>
      <c r="D7" s="24">
        <f>StartingInventory[[#Totals],[Total]]*120%</f>
        <v>564000</v>
      </c>
      <c r="E7" s="24">
        <f>StartingInventory[[#Totals],[Total]]</f>
        <v>470000</v>
      </c>
      <c r="F7" s="24">
        <f>StartingInventory[[#Totals],[Total]]</f>
        <v>470000</v>
      </c>
      <c r="G7" s="24">
        <f>StartingInventory[[#Totals],[Total]]*120%</f>
        <v>564000</v>
      </c>
      <c r="H7" s="24">
        <f>StartingInventory[[#Totals],[Total]]*120%</f>
        <v>564000</v>
      </c>
      <c r="I7" s="24">
        <f>StartingInventory[[#Totals],[Total]]</f>
        <v>470000</v>
      </c>
      <c r="J7" s="24">
        <f>StartingInventory[[#Totals],[Total]]*80%</f>
        <v>376000</v>
      </c>
      <c r="K7" s="24">
        <f>StartingInventory[[#Totals],[Total]]*80%</f>
        <v>376000</v>
      </c>
      <c r="L7" s="24">
        <f>StartingInventory[[#Totals],[Total]]</f>
        <v>470000</v>
      </c>
      <c r="M7" s="24">
        <f>StartingInventory[[#Totals],[Total]]</f>
        <v>470000</v>
      </c>
      <c r="N7" s="24">
        <f>StartingInventory[[#Totals],[Total]]*120%</f>
        <v>564000</v>
      </c>
      <c r="O7" s="24">
        <f>StartingInventory[[#Totals],[Total]]*120%</f>
        <v>564000</v>
      </c>
    </row>
    <row r="8" spans="1:16">
      <c r="A8" s="17"/>
      <c r="B8" s="23" t="s">
        <v>75</v>
      </c>
      <c r="C8" s="31">
        <f>C6-C7</f>
        <v>-470000</v>
      </c>
      <c r="D8" s="31">
        <f>D6-D7</f>
        <v>-15996.177352741361</v>
      </c>
      <c r="E8" s="31">
        <f t="shared" ref="E8:O8" si="1">E6-E7</f>
        <v>81961.569347706274</v>
      </c>
      <c r="F8" s="31">
        <f t="shared" si="1"/>
        <v>82250.614445725107</v>
      </c>
      <c r="G8" s="31">
        <f t="shared" si="1"/>
        <v>-13777.924699729076</v>
      </c>
      <c r="H8" s="31">
        <f t="shared" si="1"/>
        <v>-15714.931701821391</v>
      </c>
      <c r="I8" s="31">
        <f t="shared" si="1"/>
        <v>78490.909072090057</v>
      </c>
      <c r="J8" s="31">
        <f t="shared" si="1"/>
        <v>176448.65577253758</v>
      </c>
      <c r="K8" s="31">
        <f t="shared" si="1"/>
        <v>176737.70087055652</v>
      </c>
      <c r="L8" s="31">
        <f t="shared" si="1"/>
        <v>80709.161725102225</v>
      </c>
      <c r="M8" s="31">
        <f t="shared" si="1"/>
        <v>78772.154723010026</v>
      </c>
      <c r="N8" s="31">
        <f t="shared" si="1"/>
        <v>-15022.004503078642</v>
      </c>
      <c r="O8" s="31">
        <f t="shared" si="1"/>
        <v>-11064.257802631008</v>
      </c>
    </row>
    <row r="9" spans="1:16">
      <c r="A9" s="17"/>
      <c r="B9" s="17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</row>
    <row r="10" spans="1:16">
      <c r="A10" s="17"/>
      <c r="B10" s="20" t="s">
        <v>4</v>
      </c>
      <c r="C10" s="19">
        <f>1000+500+25</f>
        <v>1525</v>
      </c>
      <c r="D10" s="19">
        <f>500+25</f>
        <v>525</v>
      </c>
      <c r="E10" s="19">
        <f t="shared" ref="E10:O10" si="2">500+25</f>
        <v>525</v>
      </c>
      <c r="F10" s="19">
        <f t="shared" si="2"/>
        <v>525</v>
      </c>
      <c r="G10" s="19">
        <f t="shared" si="2"/>
        <v>525</v>
      </c>
      <c r="H10" s="19">
        <f t="shared" si="2"/>
        <v>525</v>
      </c>
      <c r="I10" s="19">
        <f t="shared" si="2"/>
        <v>525</v>
      </c>
      <c r="J10" s="19">
        <f t="shared" si="2"/>
        <v>525</v>
      </c>
      <c r="K10" s="19">
        <f t="shared" si="2"/>
        <v>525</v>
      </c>
      <c r="L10" s="19">
        <f t="shared" si="2"/>
        <v>525</v>
      </c>
      <c r="M10" s="19">
        <f t="shared" si="2"/>
        <v>525</v>
      </c>
      <c r="N10" s="19">
        <f t="shared" si="2"/>
        <v>525</v>
      </c>
      <c r="O10" s="19">
        <f t="shared" si="2"/>
        <v>525</v>
      </c>
    </row>
    <row r="11" spans="1:16">
      <c r="A11" s="17"/>
      <c r="B11" s="20" t="s">
        <v>17</v>
      </c>
      <c r="C11" s="19">
        <v>1450</v>
      </c>
      <c r="D11" s="19">
        <v>150</v>
      </c>
      <c r="E11" s="19">
        <v>150</v>
      </c>
      <c r="F11" s="19">
        <v>150</v>
      </c>
      <c r="G11" s="19">
        <v>150</v>
      </c>
      <c r="H11" s="19">
        <v>150</v>
      </c>
      <c r="I11" s="19">
        <v>150</v>
      </c>
      <c r="J11" s="19">
        <v>150</v>
      </c>
      <c r="K11" s="19">
        <v>150</v>
      </c>
      <c r="L11" s="19">
        <v>150</v>
      </c>
      <c r="M11" s="19">
        <v>150</v>
      </c>
      <c r="N11" s="19">
        <v>150</v>
      </c>
      <c r="O11" s="19">
        <v>150</v>
      </c>
    </row>
    <row r="12" spans="1:16">
      <c r="A12" s="17"/>
      <c r="B12" s="20" t="s">
        <v>18</v>
      </c>
      <c r="C12" s="19">
        <v>23000</v>
      </c>
      <c r="D12" s="19">
        <f>5%*D6</f>
        <v>27400.191132362932</v>
      </c>
      <c r="E12" s="19">
        <f t="shared" ref="E12:O12" si="3">5%*E6</f>
        <v>27598.078467385316</v>
      </c>
      <c r="F12" s="19">
        <f t="shared" si="3"/>
        <v>27612.530722286258</v>
      </c>
      <c r="G12" s="19">
        <f t="shared" si="3"/>
        <v>27511.103765013548</v>
      </c>
      <c r="H12" s="19">
        <f t="shared" si="3"/>
        <v>27414.253414908933</v>
      </c>
      <c r="I12" s="19">
        <f t="shared" si="3"/>
        <v>27424.545453604504</v>
      </c>
      <c r="J12" s="19">
        <f t="shared" si="3"/>
        <v>27622.43278862688</v>
      </c>
      <c r="K12" s="19">
        <f t="shared" si="3"/>
        <v>27636.885043527829</v>
      </c>
      <c r="L12" s="19">
        <f t="shared" si="3"/>
        <v>27535.458086255112</v>
      </c>
      <c r="M12" s="19">
        <f t="shared" si="3"/>
        <v>27438.607736150501</v>
      </c>
      <c r="N12" s="19">
        <f t="shared" si="3"/>
        <v>27448.899774846068</v>
      </c>
      <c r="O12" s="19">
        <f t="shared" si="3"/>
        <v>27646.787109868452</v>
      </c>
    </row>
    <row r="13" spans="1:16">
      <c r="A13" s="17"/>
      <c r="B13" s="20" t="s">
        <v>2</v>
      </c>
      <c r="C13" s="19">
        <v>5640</v>
      </c>
      <c r="D13" s="19">
        <v>3400</v>
      </c>
      <c r="E13" s="19">
        <v>4500</v>
      </c>
      <c r="F13" s="19">
        <v>3200</v>
      </c>
      <c r="G13" s="19">
        <v>1200</v>
      </c>
      <c r="H13" s="19">
        <v>1490</v>
      </c>
      <c r="I13" s="19">
        <v>100</v>
      </c>
      <c r="J13" s="19">
        <v>1200</v>
      </c>
      <c r="K13" s="19">
        <v>450</v>
      </c>
      <c r="L13" s="19">
        <v>200</v>
      </c>
      <c r="M13" s="19">
        <v>200</v>
      </c>
      <c r="N13" s="19">
        <v>2300</v>
      </c>
      <c r="O13" s="19">
        <v>4500</v>
      </c>
    </row>
    <row r="14" spans="1:16">
      <c r="A14" s="17"/>
      <c r="B14" s="20" t="s">
        <v>21</v>
      </c>
      <c r="C14" s="19">
        <v>23460</v>
      </c>
      <c r="D14" s="19">
        <v>6700</v>
      </c>
      <c r="E14" s="19">
        <v>6700</v>
      </c>
      <c r="F14" s="19">
        <v>8900</v>
      </c>
      <c r="G14" s="19">
        <v>3900</v>
      </c>
      <c r="H14" s="19">
        <v>3400</v>
      </c>
      <c r="I14" s="19">
        <v>200</v>
      </c>
      <c r="J14" s="19">
        <v>100</v>
      </c>
      <c r="K14" s="19">
        <v>1200</v>
      </c>
      <c r="L14" s="19">
        <v>2090</v>
      </c>
      <c r="M14" s="19">
        <v>600</v>
      </c>
      <c r="N14" s="19">
        <v>800</v>
      </c>
      <c r="O14" s="19">
        <v>4500</v>
      </c>
    </row>
    <row r="15" spans="1:16">
      <c r="A15" s="17"/>
      <c r="B15" s="20" t="s">
        <v>22</v>
      </c>
      <c r="C15" s="19">
        <f>Table3[[#Totals],[Premium]]</f>
        <v>2103</v>
      </c>
      <c r="D15" s="19">
        <f>Table3[[#Totals],[Premium]]</f>
        <v>2103</v>
      </c>
      <c r="E15" s="19">
        <f>Table3[[#Totals],[Premium]]</f>
        <v>2103</v>
      </c>
      <c r="F15" s="19">
        <f>Table3[[#Totals],[Premium]]</f>
        <v>2103</v>
      </c>
      <c r="G15" s="19">
        <f>Table3[[#Totals],[Premium]]</f>
        <v>2103</v>
      </c>
      <c r="H15" s="19">
        <f>Table3[[#Totals],[Premium]]</f>
        <v>2103</v>
      </c>
      <c r="I15" s="19">
        <f>Table3[[#Totals],[Premium]]</f>
        <v>2103</v>
      </c>
      <c r="J15" s="19">
        <f>Table3[[#Totals],[Premium]]</f>
        <v>2103</v>
      </c>
      <c r="K15" s="19">
        <f>Table3[[#Totals],[Premium]]</f>
        <v>2103</v>
      </c>
      <c r="L15" s="19">
        <f>Table3[[#Totals],[Premium]]</f>
        <v>2103</v>
      </c>
      <c r="M15" s="19">
        <f>Table3[[#Totals],[Premium]]</f>
        <v>2103</v>
      </c>
      <c r="N15" s="19">
        <f>Table3[[#Totals],[Premium]]</f>
        <v>2103</v>
      </c>
      <c r="O15" s="19">
        <f>Table3[[#Totals],[Premium]]</f>
        <v>2103</v>
      </c>
    </row>
    <row r="16" spans="1:16">
      <c r="A16" s="17"/>
      <c r="B16" s="20" t="s">
        <v>25</v>
      </c>
      <c r="C16" s="19">
        <f>1000+1000</f>
        <v>2000</v>
      </c>
      <c r="D16" s="19">
        <f>200+150+50</f>
        <v>400</v>
      </c>
      <c r="E16" s="19">
        <f t="shared" ref="E16:O16" si="4">200+150+50</f>
        <v>400</v>
      </c>
      <c r="F16" s="19">
        <f t="shared" si="4"/>
        <v>400</v>
      </c>
      <c r="G16" s="19">
        <f t="shared" si="4"/>
        <v>400</v>
      </c>
      <c r="H16" s="19">
        <f t="shared" si="4"/>
        <v>400</v>
      </c>
      <c r="I16" s="19">
        <f t="shared" si="4"/>
        <v>400</v>
      </c>
      <c r="J16" s="19">
        <f t="shared" si="4"/>
        <v>400</v>
      </c>
      <c r="K16" s="19">
        <f t="shared" si="4"/>
        <v>400</v>
      </c>
      <c r="L16" s="19">
        <f t="shared" si="4"/>
        <v>400</v>
      </c>
      <c r="M16" s="19">
        <f t="shared" si="4"/>
        <v>400</v>
      </c>
      <c r="N16" s="19">
        <f t="shared" si="4"/>
        <v>400</v>
      </c>
      <c r="O16" s="19">
        <f t="shared" si="4"/>
        <v>400</v>
      </c>
    </row>
    <row r="17" spans="1:16">
      <c r="A17" s="17"/>
      <c r="B17" s="20" t="s">
        <v>26</v>
      </c>
      <c r="C17" s="19">
        <v>500</v>
      </c>
      <c r="D17" s="19">
        <v>7600</v>
      </c>
      <c r="E17" s="19">
        <v>5410</v>
      </c>
      <c r="F17" s="19">
        <v>8705</v>
      </c>
      <c r="G17" s="19">
        <v>6500</v>
      </c>
      <c r="H17" s="19">
        <v>300</v>
      </c>
      <c r="I17" s="19">
        <v>300</v>
      </c>
      <c r="J17" s="19">
        <v>1300</v>
      </c>
      <c r="K17" s="19">
        <v>3400</v>
      </c>
      <c r="L17" s="19">
        <v>4500</v>
      </c>
      <c r="M17" s="19">
        <v>500</v>
      </c>
      <c r="N17" s="19">
        <v>8000</v>
      </c>
      <c r="O17" s="19">
        <v>2100</v>
      </c>
    </row>
    <row r="18" spans="1:16">
      <c r="A18" s="17"/>
      <c r="B18" s="21" t="s">
        <v>96</v>
      </c>
      <c r="C18" s="19">
        <v>13480</v>
      </c>
      <c r="D18" s="19">
        <v>7800</v>
      </c>
      <c r="E18" s="19">
        <v>3400</v>
      </c>
      <c r="F18" s="19">
        <v>4350</v>
      </c>
      <c r="G18" s="19">
        <v>6700</v>
      </c>
      <c r="H18" s="19">
        <v>600</v>
      </c>
      <c r="I18" s="19">
        <v>200</v>
      </c>
      <c r="J18" s="19">
        <v>4000</v>
      </c>
      <c r="K18" s="19">
        <v>2800</v>
      </c>
      <c r="L18" s="19">
        <v>500</v>
      </c>
      <c r="M18" s="19">
        <v>600</v>
      </c>
      <c r="N18" s="19">
        <v>6590</v>
      </c>
      <c r="O18" s="19">
        <v>3400</v>
      </c>
    </row>
    <row r="19" spans="1:16">
      <c r="A19" s="17"/>
      <c r="B19" s="21" t="s">
        <v>97</v>
      </c>
      <c r="C19" s="19">
        <v>1000</v>
      </c>
      <c r="D19" s="19">
        <v>1000</v>
      </c>
      <c r="E19" s="19">
        <v>1000</v>
      </c>
      <c r="F19" s="19">
        <v>1000</v>
      </c>
      <c r="G19" s="19">
        <v>1000</v>
      </c>
      <c r="H19" s="19">
        <v>1000</v>
      </c>
      <c r="I19" s="19">
        <v>1000</v>
      </c>
      <c r="J19" s="19">
        <v>1000</v>
      </c>
      <c r="K19" s="19">
        <v>1000</v>
      </c>
      <c r="L19" s="19">
        <v>1000</v>
      </c>
      <c r="M19" s="19">
        <v>1000</v>
      </c>
      <c r="N19" s="19">
        <v>1000</v>
      </c>
      <c r="O19" s="19">
        <v>1000</v>
      </c>
    </row>
    <row r="20" spans="1:16">
      <c r="A20" s="17"/>
      <c r="B20" s="20" t="s">
        <v>31</v>
      </c>
      <c r="C20" s="19">
        <v>1700</v>
      </c>
      <c r="D20" s="19">
        <v>5000</v>
      </c>
      <c r="E20" s="19">
        <v>5000</v>
      </c>
      <c r="F20" s="19">
        <v>5000</v>
      </c>
      <c r="G20" s="19">
        <v>5000</v>
      </c>
      <c r="H20" s="19">
        <v>5000</v>
      </c>
      <c r="I20" s="19">
        <v>5000</v>
      </c>
      <c r="J20" s="19">
        <v>5000</v>
      </c>
      <c r="K20" s="19">
        <v>5000</v>
      </c>
      <c r="L20" s="19">
        <v>5000</v>
      </c>
      <c r="M20" s="19">
        <v>5000</v>
      </c>
      <c r="N20" s="19">
        <v>5000</v>
      </c>
      <c r="O20" s="19">
        <v>5000</v>
      </c>
    </row>
    <row r="21" spans="1:16">
      <c r="A21" s="17"/>
      <c r="B21" s="20" t="s">
        <v>3</v>
      </c>
      <c r="C21" s="19">
        <v>250</v>
      </c>
      <c r="D21" s="19">
        <v>300</v>
      </c>
      <c r="E21" s="19">
        <v>300</v>
      </c>
      <c r="F21" s="19">
        <v>300</v>
      </c>
      <c r="G21" s="19">
        <v>300</v>
      </c>
      <c r="H21" s="19">
        <v>300</v>
      </c>
      <c r="I21" s="19">
        <v>300</v>
      </c>
      <c r="J21" s="19">
        <v>300</v>
      </c>
      <c r="K21" s="19">
        <v>300</v>
      </c>
      <c r="L21" s="19">
        <v>300</v>
      </c>
      <c r="M21" s="19">
        <v>300</v>
      </c>
      <c r="N21" s="19">
        <v>300</v>
      </c>
      <c r="O21" s="19">
        <v>300</v>
      </c>
    </row>
    <row r="22" spans="1:16">
      <c r="A22" s="17"/>
      <c r="B22" s="20" t="s">
        <v>98</v>
      </c>
      <c r="C22" s="19">
        <f>Table4[[#Totals],[Cost]]</f>
        <v>265</v>
      </c>
      <c r="D22" s="19">
        <v>45900</v>
      </c>
      <c r="E22" s="19">
        <v>4500</v>
      </c>
      <c r="F22" s="19">
        <v>6580</v>
      </c>
      <c r="G22" s="19">
        <v>3400</v>
      </c>
      <c r="H22" s="19">
        <v>2000</v>
      </c>
      <c r="I22" s="19">
        <v>100</v>
      </c>
      <c r="J22" s="19">
        <v>300</v>
      </c>
      <c r="K22" s="19">
        <v>1200</v>
      </c>
      <c r="L22" s="19">
        <v>4500</v>
      </c>
      <c r="M22" s="19">
        <v>5600</v>
      </c>
      <c r="N22" s="19">
        <v>6700</v>
      </c>
      <c r="O22" s="19">
        <v>6700</v>
      </c>
    </row>
    <row r="23" spans="1:16">
      <c r="A23" s="17"/>
      <c r="B23" s="21" t="s">
        <v>127</v>
      </c>
      <c r="C23" s="19">
        <v>12490</v>
      </c>
      <c r="D23" s="19">
        <v>23000</v>
      </c>
      <c r="E23" s="19">
        <v>1200</v>
      </c>
      <c r="F23" s="19">
        <v>7600</v>
      </c>
      <c r="G23" s="19">
        <v>3400</v>
      </c>
      <c r="H23" s="19">
        <v>3700</v>
      </c>
      <c r="I23" s="19">
        <v>1000</v>
      </c>
      <c r="J23" s="19">
        <v>5000</v>
      </c>
      <c r="K23" s="19">
        <v>2300</v>
      </c>
      <c r="L23" s="19">
        <v>3400</v>
      </c>
      <c r="M23" s="19">
        <v>3400</v>
      </c>
      <c r="N23" s="19">
        <v>2300</v>
      </c>
      <c r="O23" s="19">
        <v>600</v>
      </c>
    </row>
    <row r="24" spans="1:16">
      <c r="A24" s="17"/>
      <c r="B24" s="20" t="s">
        <v>34</v>
      </c>
      <c r="C24" s="19">
        <f>250+50+100</f>
        <v>400</v>
      </c>
      <c r="D24" s="19">
        <f>250+50+100</f>
        <v>400</v>
      </c>
      <c r="E24" s="19">
        <f t="shared" ref="E24:O24" si="5">250+50+100</f>
        <v>400</v>
      </c>
      <c r="F24" s="19">
        <f t="shared" si="5"/>
        <v>400</v>
      </c>
      <c r="G24" s="19">
        <f t="shared" si="5"/>
        <v>400</v>
      </c>
      <c r="H24" s="19">
        <f t="shared" si="5"/>
        <v>400</v>
      </c>
      <c r="I24" s="19">
        <f t="shared" si="5"/>
        <v>400</v>
      </c>
      <c r="J24" s="19">
        <f t="shared" si="5"/>
        <v>400</v>
      </c>
      <c r="K24" s="19">
        <f t="shared" si="5"/>
        <v>400</v>
      </c>
      <c r="L24" s="19">
        <f t="shared" si="5"/>
        <v>400</v>
      </c>
      <c r="M24" s="19">
        <f t="shared" si="5"/>
        <v>400</v>
      </c>
      <c r="N24" s="19">
        <f t="shared" si="5"/>
        <v>400</v>
      </c>
      <c r="O24" s="19">
        <f t="shared" si="5"/>
        <v>400</v>
      </c>
    </row>
    <row r="25" spans="1:16">
      <c r="A25" s="17"/>
      <c r="B25" s="20" t="s">
        <v>99</v>
      </c>
      <c r="C25" s="82">
        <v>12400</v>
      </c>
      <c r="D25" s="82">
        <f>Table9[[#Totals],[Monthly Cost]]</f>
        <v>22500</v>
      </c>
      <c r="E25" s="82">
        <f>Table9[[#Totals],[Monthly Cost]]</f>
        <v>22500</v>
      </c>
      <c r="F25" s="82">
        <f>Table9[[#Totals],[Monthly Cost]]</f>
        <v>22500</v>
      </c>
      <c r="G25" s="82">
        <f>Table9[[#Totals],[Monthly Cost]]</f>
        <v>22500</v>
      </c>
      <c r="H25" s="82">
        <f>Table9[[#Totals],[Monthly Cost]]</f>
        <v>22500</v>
      </c>
      <c r="I25" s="82">
        <f>Table9[[#Totals],[Monthly Cost]]</f>
        <v>22500</v>
      </c>
      <c r="J25" s="82">
        <f>Table9[[#Totals],[Monthly Cost]]</f>
        <v>22500</v>
      </c>
      <c r="K25" s="82">
        <f>Table9[[#Totals],[Monthly Cost]]</f>
        <v>22500</v>
      </c>
      <c r="L25" s="82">
        <f>Table9[[#Totals],[Monthly Cost]]</f>
        <v>22500</v>
      </c>
      <c r="M25" s="82">
        <f>Table9[[#Totals],[Monthly Cost]]</f>
        <v>22500</v>
      </c>
      <c r="N25" s="82">
        <f>Table9[[#Totals],[Monthly Cost]]</f>
        <v>22500</v>
      </c>
      <c r="O25" s="82">
        <f>Table9[[#Totals],[Monthly Cost]]</f>
        <v>22500</v>
      </c>
      <c r="P25" s="81"/>
    </row>
    <row r="26" spans="1:16">
      <c r="A26" s="17"/>
      <c r="B26" s="20" t="s">
        <v>8</v>
      </c>
      <c r="C26" s="19">
        <v>2300</v>
      </c>
      <c r="D26" s="19">
        <v>2300</v>
      </c>
      <c r="E26" s="19">
        <v>2300</v>
      </c>
      <c r="F26" s="19">
        <v>2300</v>
      </c>
      <c r="G26" s="19">
        <v>2300</v>
      </c>
      <c r="H26" s="19">
        <v>2300</v>
      </c>
      <c r="I26" s="19">
        <v>2300</v>
      </c>
      <c r="J26" s="19">
        <v>2300</v>
      </c>
      <c r="K26" s="19">
        <v>2300</v>
      </c>
      <c r="L26" s="19">
        <v>2300</v>
      </c>
      <c r="M26" s="19">
        <v>2300</v>
      </c>
      <c r="N26" s="19">
        <v>2300</v>
      </c>
      <c r="O26" s="19">
        <v>2300</v>
      </c>
    </row>
    <row r="27" spans="1:16">
      <c r="A27" s="17"/>
      <c r="B27" s="20" t="s">
        <v>105</v>
      </c>
      <c r="C27" s="19">
        <v>23480</v>
      </c>
      <c r="D27" s="19">
        <f>D25*0.0765</f>
        <v>1721.25</v>
      </c>
      <c r="E27" s="19">
        <f t="shared" ref="E27:O27" si="6">E25*0.0765</f>
        <v>1721.25</v>
      </c>
      <c r="F27" s="19">
        <f t="shared" si="6"/>
        <v>1721.25</v>
      </c>
      <c r="G27" s="19">
        <f t="shared" si="6"/>
        <v>1721.25</v>
      </c>
      <c r="H27" s="19">
        <f t="shared" si="6"/>
        <v>1721.25</v>
      </c>
      <c r="I27" s="19">
        <f t="shared" si="6"/>
        <v>1721.25</v>
      </c>
      <c r="J27" s="19">
        <f t="shared" si="6"/>
        <v>1721.25</v>
      </c>
      <c r="K27" s="19">
        <f t="shared" si="6"/>
        <v>1721.25</v>
      </c>
      <c r="L27" s="19">
        <f t="shared" si="6"/>
        <v>1721.25</v>
      </c>
      <c r="M27" s="19">
        <f t="shared" si="6"/>
        <v>1721.25</v>
      </c>
      <c r="N27" s="19">
        <f t="shared" si="6"/>
        <v>1721.25</v>
      </c>
      <c r="O27" s="19">
        <f t="shared" si="6"/>
        <v>1721.25</v>
      </c>
    </row>
    <row r="28" spans="1:16">
      <c r="A28" s="17"/>
      <c r="B28" s="20" t="s">
        <v>103</v>
      </c>
      <c r="C28" s="19">
        <v>3400</v>
      </c>
      <c r="D28" s="19">
        <f>D25*0.006</f>
        <v>135</v>
      </c>
      <c r="E28" s="19">
        <f t="shared" ref="E28:O28" si="7">E25*0.006</f>
        <v>135</v>
      </c>
      <c r="F28" s="19">
        <f t="shared" si="7"/>
        <v>135</v>
      </c>
      <c r="G28" s="19">
        <f t="shared" si="7"/>
        <v>135</v>
      </c>
      <c r="H28" s="19">
        <f t="shared" si="7"/>
        <v>135</v>
      </c>
      <c r="I28" s="19">
        <f t="shared" si="7"/>
        <v>135</v>
      </c>
      <c r="J28" s="19">
        <f t="shared" si="7"/>
        <v>135</v>
      </c>
      <c r="K28" s="19">
        <f t="shared" si="7"/>
        <v>135</v>
      </c>
      <c r="L28" s="19">
        <f t="shared" si="7"/>
        <v>135</v>
      </c>
      <c r="M28" s="19">
        <f t="shared" si="7"/>
        <v>135</v>
      </c>
      <c r="N28" s="19">
        <f t="shared" si="7"/>
        <v>135</v>
      </c>
      <c r="O28" s="19">
        <f t="shared" si="7"/>
        <v>135</v>
      </c>
    </row>
    <row r="29" spans="1:16">
      <c r="A29" s="17"/>
      <c r="B29" s="20" t="s">
        <v>104</v>
      </c>
      <c r="C29" s="19">
        <v>4300</v>
      </c>
      <c r="D29" s="19">
        <f>D25*0.054</f>
        <v>1215</v>
      </c>
      <c r="E29" s="19">
        <f t="shared" ref="E29:O29" si="8">E25*0.054</f>
        <v>1215</v>
      </c>
      <c r="F29" s="19">
        <f t="shared" si="8"/>
        <v>1215</v>
      </c>
      <c r="G29" s="19">
        <f t="shared" si="8"/>
        <v>1215</v>
      </c>
      <c r="H29" s="19">
        <f t="shared" si="8"/>
        <v>1215</v>
      </c>
      <c r="I29" s="19">
        <f t="shared" si="8"/>
        <v>1215</v>
      </c>
      <c r="J29" s="19">
        <f t="shared" si="8"/>
        <v>1215</v>
      </c>
      <c r="K29" s="19">
        <f t="shared" si="8"/>
        <v>1215</v>
      </c>
      <c r="L29" s="19">
        <f t="shared" si="8"/>
        <v>1215</v>
      </c>
      <c r="M29" s="19">
        <f t="shared" si="8"/>
        <v>1215</v>
      </c>
      <c r="N29" s="19">
        <f t="shared" si="8"/>
        <v>1215</v>
      </c>
      <c r="O29" s="19">
        <f t="shared" si="8"/>
        <v>1215</v>
      </c>
    </row>
    <row r="30" spans="1:16">
      <c r="A30" s="17"/>
      <c r="B30" s="27" t="s">
        <v>76</v>
      </c>
      <c r="C30" s="39">
        <f t="shared" ref="C30:O30" si="9">SUM(C10:C29)</f>
        <v>135143</v>
      </c>
      <c r="D30" s="39">
        <f t="shared" si="9"/>
        <v>159549.44113236293</v>
      </c>
      <c r="E30" s="39">
        <f t="shared" si="9"/>
        <v>91057.32846738532</v>
      </c>
      <c r="F30" s="39">
        <f t="shared" si="9"/>
        <v>104696.78072228626</v>
      </c>
      <c r="G30" s="39">
        <f t="shared" si="9"/>
        <v>90360.35376501354</v>
      </c>
      <c r="H30" s="39">
        <f t="shared" si="9"/>
        <v>76653.503414908933</v>
      </c>
      <c r="I30" s="39">
        <f t="shared" si="9"/>
        <v>67073.7954536045</v>
      </c>
      <c r="J30" s="39">
        <f t="shared" si="9"/>
        <v>77271.682788626873</v>
      </c>
      <c r="K30" s="39">
        <f t="shared" si="9"/>
        <v>76736.135043527829</v>
      </c>
      <c r="L30" s="39">
        <f t="shared" si="9"/>
        <v>80474.708086255108</v>
      </c>
      <c r="M30" s="39">
        <f t="shared" si="9"/>
        <v>76087.857736150501</v>
      </c>
      <c r="N30" s="39">
        <f t="shared" si="9"/>
        <v>91888.149774846068</v>
      </c>
      <c r="O30" s="39">
        <f t="shared" si="9"/>
        <v>87196.037109868455</v>
      </c>
      <c r="P30" s="81"/>
    </row>
    <row r="31" spans="1:16">
      <c r="A31" s="17"/>
      <c r="B31" s="17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</row>
    <row r="32" spans="1:16">
      <c r="A32" s="17"/>
      <c r="B32" s="28" t="s">
        <v>39</v>
      </c>
      <c r="C32" s="40">
        <f t="shared" ref="C32:O32" si="10">C8-C30</f>
        <v>-605143</v>
      </c>
      <c r="D32" s="40">
        <f t="shared" si="10"/>
        <v>-175545.61848510429</v>
      </c>
      <c r="E32" s="40">
        <f t="shared" si="10"/>
        <v>-9095.7591196790454</v>
      </c>
      <c r="F32" s="40">
        <f t="shared" si="10"/>
        <v>-22446.166276561155</v>
      </c>
      <c r="G32" s="40">
        <f t="shared" si="10"/>
        <v>-104138.27846474262</v>
      </c>
      <c r="H32" s="40">
        <f t="shared" si="10"/>
        <v>-92368.435116730325</v>
      </c>
      <c r="I32" s="40">
        <f t="shared" si="10"/>
        <v>11417.113618485557</v>
      </c>
      <c r="J32" s="40">
        <f t="shared" si="10"/>
        <v>99176.972983910702</v>
      </c>
      <c r="K32" s="40">
        <f t="shared" si="10"/>
        <v>100001.56582702869</v>
      </c>
      <c r="L32" s="40">
        <f t="shared" si="10"/>
        <v>234.45363884711696</v>
      </c>
      <c r="M32" s="40">
        <f t="shared" si="10"/>
        <v>2684.2969868595246</v>
      </c>
      <c r="N32" s="40">
        <f t="shared" si="10"/>
        <v>-106910.15427792471</v>
      </c>
      <c r="O32" s="40">
        <f t="shared" si="10"/>
        <v>-98260.294912499463</v>
      </c>
    </row>
    <row r="33" spans="1:16">
      <c r="A33" s="17"/>
      <c r="B33" s="20" t="s">
        <v>106</v>
      </c>
      <c r="C33" s="19">
        <v>12300</v>
      </c>
      <c r="D33" s="19">
        <v>12370</v>
      </c>
      <c r="E33" s="19">
        <v>5600</v>
      </c>
      <c r="F33" s="19">
        <v>24000</v>
      </c>
      <c r="G33" s="19">
        <v>1270</v>
      </c>
      <c r="H33" s="19">
        <v>4500</v>
      </c>
      <c r="I33" s="19">
        <v>10</v>
      </c>
      <c r="J33" s="19">
        <v>100</v>
      </c>
      <c r="K33" s="19">
        <v>4500</v>
      </c>
      <c r="L33" s="19">
        <v>200</v>
      </c>
      <c r="M33" s="19">
        <v>1200</v>
      </c>
      <c r="N33" s="19">
        <v>7000</v>
      </c>
      <c r="O33" s="19">
        <v>6700</v>
      </c>
    </row>
    <row r="34" spans="1:16">
      <c r="A34" s="17"/>
      <c r="B34" s="20" t="s">
        <v>86</v>
      </c>
      <c r="C34" s="79"/>
      <c r="D34" s="19">
        <f>50000/12</f>
        <v>4166.666666666667</v>
      </c>
      <c r="E34" s="19">
        <f t="shared" ref="E34:O34" si="11">50000/12</f>
        <v>4166.666666666667</v>
      </c>
      <c r="F34" s="19">
        <f t="shared" si="11"/>
        <v>4166.666666666667</v>
      </c>
      <c r="G34" s="19">
        <f t="shared" si="11"/>
        <v>4166.666666666667</v>
      </c>
      <c r="H34" s="19">
        <f t="shared" si="11"/>
        <v>4166.666666666667</v>
      </c>
      <c r="I34" s="19">
        <f t="shared" si="11"/>
        <v>4166.666666666667</v>
      </c>
      <c r="J34" s="19">
        <f t="shared" si="11"/>
        <v>4166.666666666667</v>
      </c>
      <c r="K34" s="19">
        <f t="shared" si="11"/>
        <v>4166.666666666667</v>
      </c>
      <c r="L34" s="19">
        <f t="shared" si="11"/>
        <v>4166.666666666667</v>
      </c>
      <c r="M34" s="19">
        <f t="shared" si="11"/>
        <v>4166.666666666667</v>
      </c>
      <c r="N34" s="19">
        <f t="shared" si="11"/>
        <v>4166.666666666667</v>
      </c>
      <c r="O34" s="19">
        <f t="shared" si="11"/>
        <v>4166.666666666667</v>
      </c>
    </row>
    <row r="35" spans="1:16">
      <c r="A35" s="17"/>
      <c r="B35" s="20" t="s">
        <v>84</v>
      </c>
      <c r="C35" s="19">
        <v>1200</v>
      </c>
      <c r="D35" s="19">
        <v>1000</v>
      </c>
      <c r="E35" s="19">
        <v>2390</v>
      </c>
      <c r="F35" s="19">
        <v>1200</v>
      </c>
      <c r="G35" s="19">
        <v>3400</v>
      </c>
      <c r="H35" s="19">
        <v>4300</v>
      </c>
      <c r="I35" s="19">
        <v>20</v>
      </c>
      <c r="J35" s="19">
        <v>300</v>
      </c>
      <c r="K35" s="19">
        <v>5600</v>
      </c>
      <c r="L35" s="19">
        <v>1200</v>
      </c>
      <c r="M35" s="19">
        <v>3400</v>
      </c>
      <c r="N35" s="19">
        <v>67000</v>
      </c>
      <c r="O35" s="19">
        <v>4300</v>
      </c>
    </row>
    <row r="36" spans="1:16">
      <c r="A36" s="17"/>
      <c r="B36" s="20" t="s">
        <v>124</v>
      </c>
      <c r="C36" s="19">
        <f>LoanAmount</f>
        <v>250000</v>
      </c>
      <c r="D36" s="19">
        <v>2300</v>
      </c>
      <c r="E36" s="19">
        <v>1200</v>
      </c>
      <c r="F36" s="19">
        <v>3290</v>
      </c>
      <c r="G36" s="19">
        <v>6700</v>
      </c>
      <c r="H36" s="19">
        <v>1200</v>
      </c>
      <c r="I36" s="19">
        <v>10</v>
      </c>
      <c r="J36" s="19">
        <v>3400</v>
      </c>
      <c r="K36" s="19">
        <v>400</v>
      </c>
      <c r="L36" s="19">
        <v>2300</v>
      </c>
      <c r="M36" s="19">
        <v>4300</v>
      </c>
      <c r="N36" s="19">
        <v>6700</v>
      </c>
      <c r="O36" s="19">
        <v>900</v>
      </c>
    </row>
    <row r="37" spans="1:16">
      <c r="A37" s="17"/>
      <c r="B37" s="20" t="s">
        <v>100</v>
      </c>
      <c r="C37" s="19">
        <f>Table5[[#Totals],[Total Cost]]</f>
        <v>5400</v>
      </c>
      <c r="D37" s="19">
        <v>3120</v>
      </c>
      <c r="E37" s="19">
        <v>5400</v>
      </c>
      <c r="F37" s="19">
        <v>8900</v>
      </c>
      <c r="G37" s="19">
        <v>7600</v>
      </c>
      <c r="H37" s="19">
        <v>1230</v>
      </c>
      <c r="I37" s="19">
        <v>100</v>
      </c>
      <c r="J37" s="19">
        <v>100</v>
      </c>
      <c r="K37" s="19">
        <v>2800</v>
      </c>
      <c r="L37" s="19">
        <v>2300</v>
      </c>
      <c r="M37" s="19">
        <v>2000</v>
      </c>
      <c r="N37" s="19">
        <v>3420</v>
      </c>
      <c r="O37" s="19">
        <v>5600</v>
      </c>
    </row>
    <row r="38" spans="1:16">
      <c r="A38" s="17"/>
      <c r="B38" s="20" t="s">
        <v>101</v>
      </c>
      <c r="C38" s="19">
        <v>23000</v>
      </c>
      <c r="D38" s="19">
        <f t="shared" ref="D38:O38" si="12">Payment</f>
        <v>3000.2657787347189</v>
      </c>
      <c r="E38" s="19">
        <f t="shared" si="12"/>
        <v>3000.2657787347189</v>
      </c>
      <c r="F38" s="19">
        <f t="shared" si="12"/>
        <v>3000.2657787347189</v>
      </c>
      <c r="G38" s="19">
        <f t="shared" si="12"/>
        <v>3000.2657787347189</v>
      </c>
      <c r="H38" s="19">
        <f t="shared" si="12"/>
        <v>3000.2657787347189</v>
      </c>
      <c r="I38" s="19">
        <f t="shared" si="12"/>
        <v>3000.2657787347189</v>
      </c>
      <c r="J38" s="19">
        <f t="shared" si="12"/>
        <v>3000.2657787347189</v>
      </c>
      <c r="K38" s="19">
        <f t="shared" si="12"/>
        <v>3000.2657787347189</v>
      </c>
      <c r="L38" s="19">
        <f t="shared" si="12"/>
        <v>3000.2657787347189</v>
      </c>
      <c r="M38" s="19">
        <f t="shared" si="12"/>
        <v>3000.2657787347189</v>
      </c>
      <c r="N38" s="19">
        <f t="shared" si="12"/>
        <v>3000.2657787347189</v>
      </c>
      <c r="O38" s="19">
        <f t="shared" si="12"/>
        <v>3000.2657787347189</v>
      </c>
    </row>
    <row r="39" spans="1:16">
      <c r="A39" s="17"/>
      <c r="B39" s="23" t="s">
        <v>102</v>
      </c>
      <c r="C39" s="41">
        <f>C32-C33-C34+C35+C36-C37-C38</f>
        <v>-394643</v>
      </c>
      <c r="D39" s="41">
        <f t="shared" ref="D39:O39" si="13">D32-D33-D34+D35+D36-D37-D38</f>
        <v>-194902.55093050568</v>
      </c>
      <c r="E39" s="41">
        <f t="shared" si="13"/>
        <v>-23672.691565080433</v>
      </c>
      <c r="F39" s="41">
        <f t="shared" si="13"/>
        <v>-58023.098721962539</v>
      </c>
      <c r="G39" s="41">
        <f t="shared" si="13"/>
        <v>-110075.210910144</v>
      </c>
      <c r="H39" s="41">
        <f t="shared" si="13"/>
        <v>-99765.367562131709</v>
      </c>
      <c r="I39" s="41">
        <f t="shared" si="13"/>
        <v>4170.181173084171</v>
      </c>
      <c r="J39" s="41">
        <f t="shared" si="13"/>
        <v>95510.040538509318</v>
      </c>
      <c r="K39" s="41">
        <f t="shared" si="13"/>
        <v>91534.633381627311</v>
      </c>
      <c r="L39" s="41">
        <f t="shared" si="13"/>
        <v>-5932.4788065542689</v>
      </c>
      <c r="M39" s="41">
        <f t="shared" si="13"/>
        <v>17.364541458138774</v>
      </c>
      <c r="N39" s="41">
        <f t="shared" si="13"/>
        <v>-50797.086723326101</v>
      </c>
      <c r="O39" s="41">
        <f t="shared" si="13"/>
        <v>-112527.22735790085</v>
      </c>
    </row>
    <row r="40" spans="1:16">
      <c r="A40" s="17"/>
      <c r="B40" s="17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</row>
    <row r="41" spans="1:16">
      <c r="A41" s="17"/>
      <c r="B41" s="25" t="s">
        <v>79</v>
      </c>
      <c r="C41" s="29">
        <f t="shared" ref="C41:O41" si="14">C4+C39</f>
        <v>-144643</v>
      </c>
      <c r="D41" s="29">
        <f t="shared" si="14"/>
        <v>-339545.55093050568</v>
      </c>
      <c r="E41" s="29">
        <f t="shared" si="14"/>
        <v>-363218.24249558611</v>
      </c>
      <c r="F41" s="29">
        <f t="shared" si="14"/>
        <v>-421241.34121754864</v>
      </c>
      <c r="G41" s="29">
        <f t="shared" si="14"/>
        <v>-531316.55212769262</v>
      </c>
      <c r="H41" s="29">
        <f t="shared" si="14"/>
        <v>-631081.91968982434</v>
      </c>
      <c r="I41" s="29">
        <f t="shared" si="14"/>
        <v>-626911.73851674015</v>
      </c>
      <c r="J41" s="29">
        <f t="shared" si="14"/>
        <v>-531401.69797823089</v>
      </c>
      <c r="K41" s="29">
        <f t="shared" si="14"/>
        <v>-439867.06459660357</v>
      </c>
      <c r="L41" s="29">
        <f t="shared" si="14"/>
        <v>-445799.54340315785</v>
      </c>
      <c r="M41" s="29">
        <f t="shared" si="14"/>
        <v>-445782.17886169971</v>
      </c>
      <c r="N41" s="29">
        <f t="shared" si="14"/>
        <v>-496579.26558502583</v>
      </c>
      <c r="O41" s="29">
        <f t="shared" si="14"/>
        <v>-609106.49294292671</v>
      </c>
      <c r="P41" s="81">
        <f>O41-C41</f>
        <v>-464463.49294292671</v>
      </c>
    </row>
    <row r="43" spans="1:16">
      <c r="B43" s="72" t="s">
        <v>125</v>
      </c>
      <c r="C43" s="73" t="e">
        <f t="shared" ref="C43:O43" si="15">C32/C6</f>
        <v>#DIV/0!</v>
      </c>
      <c r="D43" s="73">
        <f t="shared" si="15"/>
        <v>-0.32033648531335196</v>
      </c>
      <c r="E43" s="73">
        <f t="shared" si="15"/>
        <v>-1.6478971770495135E-2</v>
      </c>
      <c r="F43" s="73">
        <f t="shared" si="15"/>
        <v>-4.0644891448585525E-2</v>
      </c>
      <c r="G43" s="73">
        <f t="shared" si="15"/>
        <v>-0.18926590396779622</v>
      </c>
      <c r="H43" s="73">
        <f t="shared" si="15"/>
        <v>-0.16846790193180458</v>
      </c>
      <c r="I43" s="73">
        <f t="shared" si="15"/>
        <v>2.0815502006770664E-2</v>
      </c>
      <c r="J43" s="73">
        <f t="shared" si="15"/>
        <v>0.17952251661328203</v>
      </c>
      <c r="K43" s="73">
        <f t="shared" si="15"/>
        <v>0.18092047216885548</v>
      </c>
      <c r="L43" s="73">
        <f t="shared" si="15"/>
        <v>4.2573041296914052E-4</v>
      </c>
      <c r="M43" s="73">
        <f t="shared" si="15"/>
        <v>4.891459895982532E-3</v>
      </c>
      <c r="N43" s="73">
        <f t="shared" si="15"/>
        <v>-0.19474396998581386</v>
      </c>
      <c r="O43" s="73">
        <f t="shared" si="15"/>
        <v>-0.17770653516087173</v>
      </c>
    </row>
    <row r="44" spans="1:16">
      <c r="B44" s="72" t="s">
        <v>169</v>
      </c>
      <c r="C44" s="74">
        <f>C32/C38</f>
        <v>-26.310565217391304</v>
      </c>
      <c r="D44" s="75">
        <f>D39/D38</f>
        <v>-64.961761825214225</v>
      </c>
      <c r="E44" s="75">
        <f t="shared" ref="E44:O44" si="16">E39/E38</f>
        <v>-7.8901981727311341</v>
      </c>
      <c r="F44" s="75">
        <f t="shared" si="16"/>
        <v>-19.339319580691352</v>
      </c>
      <c r="G44" s="75">
        <f t="shared" si="16"/>
        <v>-36.688486630196223</v>
      </c>
      <c r="H44" s="75">
        <f t="shared" si="16"/>
        <v>-33.252176613568238</v>
      </c>
      <c r="I44" s="75">
        <f t="shared" si="16"/>
        <v>1.3899372524399596</v>
      </c>
      <c r="J44" s="75">
        <f t="shared" si="16"/>
        <v>31.833859925165729</v>
      </c>
      <c r="K44" s="75">
        <f t="shared" si="16"/>
        <v>30.508841593436955</v>
      </c>
      <c r="L44" s="75">
        <f t="shared" si="16"/>
        <v>-1.977317759180699</v>
      </c>
      <c r="M44" s="75">
        <f t="shared" si="16"/>
        <v>5.7876677397099806E-3</v>
      </c>
      <c r="N44" s="75">
        <f t="shared" si="16"/>
        <v>-16.930862286723279</v>
      </c>
      <c r="O44" s="75">
        <f t="shared" si="16"/>
        <v>-37.50575304210421</v>
      </c>
      <c r="P44" s="127">
        <f>AVERAGE(D44:O44)</f>
        <v>-12.900620789302252</v>
      </c>
    </row>
  </sheetData>
  <mergeCells count="2">
    <mergeCell ref="A1:O1"/>
    <mergeCell ref="A2:O2"/>
  </mergeCells>
  <pageMargins left="0.7" right="0.7" top="0.75" bottom="0.75" header="0.3" footer="0.3"/>
  <pageSetup scale="52" orientation="landscape" horizontalDpi="4294967293" verticalDpi="4294967293" r:id="rId1"/>
  <ignoredErrors>
    <ignoredError sqref="D4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/>
    <pageSetUpPr fitToPage="1"/>
  </sheetPr>
  <dimension ref="A1:O44"/>
  <sheetViews>
    <sheetView topLeftCell="D2" zoomScalePageLayoutView="91" workbookViewId="0">
      <selection activeCell="N37" sqref="N37"/>
    </sheetView>
  </sheetViews>
  <sheetFormatPr defaultColWidth="8.875" defaultRowHeight="15.75"/>
  <cols>
    <col min="1" max="1" width="2.125" customWidth="1"/>
    <col min="2" max="2" width="44.625" customWidth="1"/>
    <col min="3" max="14" width="13.125" customWidth="1"/>
    <col min="15" max="15" width="12.125" customWidth="1"/>
  </cols>
  <sheetData>
    <row r="1" spans="1:15" ht="23.25" hidden="1">
      <c r="A1" s="151">
        <f>Transactions!A1</f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</row>
    <row r="2" spans="1:15" ht="23.25">
      <c r="A2" s="152" t="s">
        <v>184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5">
      <c r="A3" s="17"/>
      <c r="B3" s="17"/>
      <c r="C3" s="18" t="s">
        <v>61</v>
      </c>
      <c r="D3" s="18" t="s">
        <v>62</v>
      </c>
      <c r="E3" s="18" t="s">
        <v>63</v>
      </c>
      <c r="F3" s="18" t="s">
        <v>64</v>
      </c>
      <c r="G3" s="18" t="s">
        <v>65</v>
      </c>
      <c r="H3" s="18" t="s">
        <v>66</v>
      </c>
      <c r="I3" s="18" t="s">
        <v>67</v>
      </c>
      <c r="J3" s="18" t="s">
        <v>68</v>
      </c>
      <c r="K3" s="18" t="s">
        <v>69</v>
      </c>
      <c r="L3" s="18" t="s">
        <v>70</v>
      </c>
      <c r="M3" s="18" t="s">
        <v>71</v>
      </c>
      <c r="N3" s="18" t="s">
        <v>72</v>
      </c>
    </row>
    <row r="4" spans="1:15">
      <c r="A4" s="17"/>
      <c r="B4" s="25" t="s">
        <v>78</v>
      </c>
      <c r="C4" s="26">
        <f>'2022 Forecast'!O41</f>
        <v>-609106.49294292671</v>
      </c>
      <c r="D4" s="26">
        <f>C41</f>
        <v>-601089.34205499478</v>
      </c>
      <c r="E4" s="26">
        <f t="shared" ref="E4:N4" si="0">D41</f>
        <v>-602605.5245003961</v>
      </c>
      <c r="F4" s="26">
        <f t="shared" si="0"/>
        <v>-597891.70694579754</v>
      </c>
      <c r="G4" s="26">
        <f t="shared" si="0"/>
        <v>-593117.88939119887</v>
      </c>
      <c r="H4" s="26">
        <f t="shared" si="0"/>
        <v>-582224.0718366002</v>
      </c>
      <c r="I4" s="26">
        <f t="shared" si="0"/>
        <v>-582571.25428200164</v>
      </c>
      <c r="J4" s="26">
        <f t="shared" si="0"/>
        <v>-606768.43672740308</v>
      </c>
      <c r="K4" s="26">
        <f t="shared" si="0"/>
        <v>-633574.61917280452</v>
      </c>
      <c r="L4" s="26">
        <f t="shared" si="0"/>
        <v>-696165.80161820585</v>
      </c>
      <c r="M4" s="26">
        <f t="shared" si="0"/>
        <v>-699205.98406360717</v>
      </c>
      <c r="N4" s="26">
        <f t="shared" si="0"/>
        <v>-699152.1665090085</v>
      </c>
    </row>
    <row r="5" spans="1:15">
      <c r="A5" s="17"/>
      <c r="B5" s="17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5">
      <c r="A6" s="17"/>
      <c r="B6" s="30" t="s">
        <v>74</v>
      </c>
      <c r="C6" s="24">
        <f>545000*120%</f>
        <v>654000</v>
      </c>
      <c r="D6" s="24">
        <v>548000</v>
      </c>
      <c r="E6" s="24">
        <v>545000</v>
      </c>
      <c r="F6" s="24">
        <f t="shared" ref="F6:G6" si="1">545000*120%</f>
        <v>654000</v>
      </c>
      <c r="G6" s="24">
        <f t="shared" si="1"/>
        <v>654000</v>
      </c>
      <c r="H6" s="24">
        <v>545000</v>
      </c>
      <c r="I6" s="24">
        <f>545000*80%</f>
        <v>436000</v>
      </c>
      <c r="J6" s="24">
        <f>545000*80%</f>
        <v>436000</v>
      </c>
      <c r="K6" s="24">
        <v>545000</v>
      </c>
      <c r="L6" s="24">
        <v>545000</v>
      </c>
      <c r="M6" s="24">
        <f t="shared" ref="M6:N6" si="2">545000*120%</f>
        <v>654000</v>
      </c>
      <c r="N6" s="24">
        <f t="shared" si="2"/>
        <v>654000</v>
      </c>
      <c r="O6" s="81"/>
    </row>
    <row r="7" spans="1:15">
      <c r="A7" s="17"/>
      <c r="B7" s="30" t="s">
        <v>73</v>
      </c>
      <c r="C7" s="24">
        <f>StartingInventory[[#Totals],[Total]]*120%</f>
        <v>564000</v>
      </c>
      <c r="D7" s="24">
        <f>StartingInventory[[#Totals],[Total]]</f>
        <v>470000</v>
      </c>
      <c r="E7" s="24">
        <f>StartingInventory[[#Totals],[Total]]</f>
        <v>470000</v>
      </c>
      <c r="F7" s="24">
        <f>StartingInventory[[#Totals],[Total]]*120%</f>
        <v>564000</v>
      </c>
      <c r="G7" s="24">
        <f>StartingInventory[[#Totals],[Total]]*120%</f>
        <v>564000</v>
      </c>
      <c r="H7" s="24">
        <f>StartingInventory[[#Totals],[Total]]</f>
        <v>470000</v>
      </c>
      <c r="I7" s="24">
        <f>StartingInventory[[#Totals],[Total]]*80%</f>
        <v>376000</v>
      </c>
      <c r="J7" s="24">
        <f>StartingInventory[[#Totals],[Total]]*80%</f>
        <v>376000</v>
      </c>
      <c r="K7" s="24">
        <f>StartingInventory[[#Totals],[Total]]</f>
        <v>470000</v>
      </c>
      <c r="L7" s="24">
        <f>StartingInventory[[#Totals],[Total]]</f>
        <v>470000</v>
      </c>
      <c r="M7" s="24">
        <f>StartingInventory[[#Totals],[Total]]*120%</f>
        <v>564000</v>
      </c>
      <c r="N7" s="24">
        <f>StartingInventory[[#Totals],[Total]]*120%</f>
        <v>564000</v>
      </c>
    </row>
    <row r="8" spans="1:15">
      <c r="A8" s="17"/>
      <c r="B8" s="23" t="s">
        <v>75</v>
      </c>
      <c r="C8" s="31">
        <f>C6-C7</f>
        <v>90000</v>
      </c>
      <c r="D8" s="31">
        <f t="shared" ref="D8:N8" si="3">D6-D7</f>
        <v>78000</v>
      </c>
      <c r="E8" s="31">
        <f t="shared" si="3"/>
        <v>75000</v>
      </c>
      <c r="F8" s="31">
        <f t="shared" si="3"/>
        <v>90000</v>
      </c>
      <c r="G8" s="31">
        <f t="shared" si="3"/>
        <v>90000</v>
      </c>
      <c r="H8" s="31">
        <f t="shared" si="3"/>
        <v>75000</v>
      </c>
      <c r="I8" s="31">
        <f t="shared" si="3"/>
        <v>60000</v>
      </c>
      <c r="J8" s="31">
        <f t="shared" si="3"/>
        <v>60000</v>
      </c>
      <c r="K8" s="31">
        <f t="shared" si="3"/>
        <v>75000</v>
      </c>
      <c r="L8" s="31">
        <f t="shared" si="3"/>
        <v>75000</v>
      </c>
      <c r="M8" s="31">
        <f t="shared" si="3"/>
        <v>90000</v>
      </c>
      <c r="N8" s="31">
        <f t="shared" si="3"/>
        <v>90000</v>
      </c>
    </row>
    <row r="9" spans="1:15">
      <c r="A9" s="17"/>
      <c r="B9" s="17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5">
      <c r="A10" s="17"/>
      <c r="B10" s="20" t="s">
        <v>4</v>
      </c>
      <c r="C10" s="19">
        <f>500+25</f>
        <v>525</v>
      </c>
      <c r="D10" s="19">
        <f t="shared" ref="D10:N10" si="4">500+25</f>
        <v>525</v>
      </c>
      <c r="E10" s="19">
        <f t="shared" si="4"/>
        <v>525</v>
      </c>
      <c r="F10" s="19">
        <f t="shared" si="4"/>
        <v>525</v>
      </c>
      <c r="G10" s="19">
        <f t="shared" si="4"/>
        <v>525</v>
      </c>
      <c r="H10" s="19">
        <f t="shared" si="4"/>
        <v>525</v>
      </c>
      <c r="I10" s="19">
        <f t="shared" si="4"/>
        <v>525</v>
      </c>
      <c r="J10" s="19">
        <f t="shared" si="4"/>
        <v>525</v>
      </c>
      <c r="K10" s="19">
        <f t="shared" si="4"/>
        <v>525</v>
      </c>
      <c r="L10" s="19">
        <f t="shared" si="4"/>
        <v>525</v>
      </c>
      <c r="M10" s="19">
        <f t="shared" si="4"/>
        <v>525</v>
      </c>
      <c r="N10" s="19">
        <f t="shared" si="4"/>
        <v>525</v>
      </c>
    </row>
    <row r="11" spans="1:15">
      <c r="A11" s="17"/>
      <c r="B11" s="20" t="s">
        <v>17</v>
      </c>
      <c r="C11" s="19">
        <v>150</v>
      </c>
      <c r="D11" s="19">
        <v>150</v>
      </c>
      <c r="E11" s="19">
        <v>150</v>
      </c>
      <c r="F11" s="19">
        <v>150</v>
      </c>
      <c r="G11" s="19">
        <v>150</v>
      </c>
      <c r="H11" s="19">
        <v>150</v>
      </c>
      <c r="I11" s="19">
        <v>150</v>
      </c>
      <c r="J11" s="19">
        <v>150</v>
      </c>
      <c r="K11" s="19">
        <v>150</v>
      </c>
      <c r="L11" s="19">
        <v>150</v>
      </c>
      <c r="M11" s="19">
        <v>150</v>
      </c>
      <c r="N11" s="19">
        <v>150</v>
      </c>
    </row>
    <row r="12" spans="1:15">
      <c r="A12" s="17"/>
      <c r="B12" s="20" t="s">
        <v>18</v>
      </c>
      <c r="C12" s="19">
        <f>5%*C6</f>
        <v>32700</v>
      </c>
      <c r="D12" s="19">
        <f t="shared" ref="D12:N12" si="5">5%*D6</f>
        <v>27400</v>
      </c>
      <c r="E12" s="19">
        <f t="shared" si="5"/>
        <v>27250</v>
      </c>
      <c r="F12" s="19">
        <f t="shared" si="5"/>
        <v>32700</v>
      </c>
      <c r="G12" s="19">
        <f t="shared" si="5"/>
        <v>32700</v>
      </c>
      <c r="H12" s="19">
        <f t="shared" si="5"/>
        <v>27250</v>
      </c>
      <c r="I12" s="19">
        <f t="shared" si="5"/>
        <v>21800</v>
      </c>
      <c r="J12" s="19">
        <f t="shared" si="5"/>
        <v>21800</v>
      </c>
      <c r="K12" s="19">
        <f t="shared" si="5"/>
        <v>27250</v>
      </c>
      <c r="L12" s="19">
        <f t="shared" si="5"/>
        <v>27250</v>
      </c>
      <c r="M12" s="19">
        <f t="shared" si="5"/>
        <v>32700</v>
      </c>
      <c r="N12" s="19">
        <f t="shared" si="5"/>
        <v>32700</v>
      </c>
    </row>
    <row r="13" spans="1:15">
      <c r="A13" s="17"/>
      <c r="B13" s="20" t="s">
        <v>2</v>
      </c>
      <c r="C13" s="19">
        <v>1200</v>
      </c>
      <c r="D13" s="19">
        <v>2700</v>
      </c>
      <c r="E13" s="19">
        <v>200</v>
      </c>
      <c r="F13" s="19">
        <v>2300</v>
      </c>
      <c r="G13" s="19">
        <v>1200</v>
      </c>
      <c r="H13" s="19">
        <v>240</v>
      </c>
      <c r="I13" s="19">
        <v>200</v>
      </c>
      <c r="J13" s="19">
        <v>1300</v>
      </c>
      <c r="K13" s="19">
        <v>12340</v>
      </c>
      <c r="L13" s="19">
        <v>3400</v>
      </c>
      <c r="M13" s="19">
        <v>230</v>
      </c>
      <c r="N13" s="19">
        <v>1209</v>
      </c>
    </row>
    <row r="14" spans="1:15">
      <c r="A14" s="17"/>
      <c r="B14" s="20" t="s">
        <v>21</v>
      </c>
      <c r="C14" s="19">
        <f>(10000/12)*5</f>
        <v>4166.666666666667</v>
      </c>
      <c r="D14" s="19">
        <f t="shared" ref="D14:N14" si="6">(10000/12)*5</f>
        <v>4166.666666666667</v>
      </c>
      <c r="E14" s="19">
        <f t="shared" si="6"/>
        <v>4166.666666666667</v>
      </c>
      <c r="F14" s="19">
        <f t="shared" si="6"/>
        <v>4166.666666666667</v>
      </c>
      <c r="G14" s="19">
        <f t="shared" si="6"/>
        <v>4166.666666666667</v>
      </c>
      <c r="H14" s="19">
        <f t="shared" si="6"/>
        <v>4166.666666666667</v>
      </c>
      <c r="I14" s="19">
        <f t="shared" si="6"/>
        <v>4166.666666666667</v>
      </c>
      <c r="J14" s="19">
        <f t="shared" si="6"/>
        <v>4166.666666666667</v>
      </c>
      <c r="K14" s="19">
        <f t="shared" si="6"/>
        <v>4166.666666666667</v>
      </c>
      <c r="L14" s="19">
        <f t="shared" si="6"/>
        <v>4166.666666666667</v>
      </c>
      <c r="M14" s="19">
        <f t="shared" si="6"/>
        <v>4166.666666666667</v>
      </c>
      <c r="N14" s="19">
        <f t="shared" si="6"/>
        <v>4166.666666666667</v>
      </c>
    </row>
    <row r="15" spans="1:15">
      <c r="A15" s="17"/>
      <c r="B15" s="20" t="s">
        <v>22</v>
      </c>
      <c r="C15" s="19">
        <f>Table3[[#Totals],[Premium]]</f>
        <v>2103</v>
      </c>
      <c r="D15" s="19">
        <f>Table3[[#Totals],[Premium]]</f>
        <v>2103</v>
      </c>
      <c r="E15" s="19">
        <f>Table3[[#Totals],[Premium]]</f>
        <v>2103</v>
      </c>
      <c r="F15" s="19">
        <f>Table3[[#Totals],[Premium]]</f>
        <v>2103</v>
      </c>
      <c r="G15" s="19">
        <f>Table3[[#Totals],[Premium]]</f>
        <v>2103</v>
      </c>
      <c r="H15" s="19">
        <f>Table3[[#Totals],[Premium]]</f>
        <v>2103</v>
      </c>
      <c r="I15" s="19">
        <f>Table3[[#Totals],[Premium]]</f>
        <v>2103</v>
      </c>
      <c r="J15" s="19">
        <f>Table3[[#Totals],[Premium]]</f>
        <v>2103</v>
      </c>
      <c r="K15" s="19">
        <f>Table3[[#Totals],[Premium]]</f>
        <v>2103</v>
      </c>
      <c r="L15" s="19">
        <f>Table3[[#Totals],[Premium]]</f>
        <v>2103</v>
      </c>
      <c r="M15" s="19">
        <f>Table3[[#Totals],[Premium]]</f>
        <v>2103</v>
      </c>
      <c r="N15" s="19">
        <f>Table3[[#Totals],[Premium]]</f>
        <v>2103</v>
      </c>
    </row>
    <row r="16" spans="1:15">
      <c r="A16" s="17"/>
      <c r="B16" s="20" t="s">
        <v>25</v>
      </c>
      <c r="C16" s="19">
        <f>200+150+50</f>
        <v>400</v>
      </c>
      <c r="D16" s="19">
        <f>200+150+50+500</f>
        <v>900</v>
      </c>
      <c r="E16" s="19">
        <f t="shared" ref="E16:N16" si="7">200+150+50</f>
        <v>400</v>
      </c>
      <c r="F16" s="19">
        <f t="shared" si="7"/>
        <v>400</v>
      </c>
      <c r="G16" s="19">
        <f t="shared" si="7"/>
        <v>400</v>
      </c>
      <c r="H16" s="19">
        <f t="shared" si="7"/>
        <v>400</v>
      </c>
      <c r="I16" s="19">
        <f t="shared" si="7"/>
        <v>400</v>
      </c>
      <c r="J16" s="19">
        <f t="shared" si="7"/>
        <v>400</v>
      </c>
      <c r="K16" s="19">
        <f t="shared" si="7"/>
        <v>400</v>
      </c>
      <c r="L16" s="19">
        <f t="shared" si="7"/>
        <v>400</v>
      </c>
      <c r="M16" s="19">
        <f t="shared" si="7"/>
        <v>400</v>
      </c>
      <c r="N16" s="19">
        <f t="shared" si="7"/>
        <v>400</v>
      </c>
    </row>
    <row r="17" spans="1:15">
      <c r="A17" s="17"/>
      <c r="B17" s="20" t="s">
        <v>26</v>
      </c>
      <c r="C17" s="19">
        <v>500</v>
      </c>
      <c r="D17" s="19">
        <v>700</v>
      </c>
      <c r="E17" s="19">
        <v>200</v>
      </c>
      <c r="F17" s="19">
        <v>600</v>
      </c>
      <c r="G17" s="19">
        <v>480</v>
      </c>
      <c r="H17" s="19">
        <v>890</v>
      </c>
      <c r="I17" s="19">
        <v>780</v>
      </c>
      <c r="J17" s="19">
        <v>5678</v>
      </c>
      <c r="K17" s="19">
        <v>45670</v>
      </c>
      <c r="L17" s="19">
        <v>600</v>
      </c>
      <c r="M17" s="19">
        <v>4500</v>
      </c>
      <c r="N17" s="19">
        <v>800</v>
      </c>
    </row>
    <row r="18" spans="1:15">
      <c r="A18" s="17"/>
      <c r="B18" s="21" t="s">
        <v>96</v>
      </c>
      <c r="C18" s="19">
        <v>500</v>
      </c>
      <c r="D18" s="19">
        <v>700</v>
      </c>
      <c r="E18" s="19">
        <v>600</v>
      </c>
      <c r="F18" s="19">
        <v>340</v>
      </c>
      <c r="G18" s="19">
        <v>780</v>
      </c>
      <c r="H18" s="19">
        <v>560</v>
      </c>
      <c r="I18" s="19">
        <v>900</v>
      </c>
      <c r="J18" s="19">
        <v>3460</v>
      </c>
      <c r="K18" s="19">
        <v>890</v>
      </c>
      <c r="L18" s="19">
        <v>1290</v>
      </c>
      <c r="M18" s="19">
        <v>200</v>
      </c>
      <c r="N18" s="19">
        <v>6700</v>
      </c>
    </row>
    <row r="19" spans="1:15">
      <c r="A19" s="17"/>
      <c r="B19" s="21" t="s">
        <v>97</v>
      </c>
      <c r="C19" s="19">
        <v>1000</v>
      </c>
      <c r="D19" s="19">
        <v>1000</v>
      </c>
      <c r="E19" s="19">
        <v>1000</v>
      </c>
      <c r="F19" s="19">
        <v>1000</v>
      </c>
      <c r="G19" s="19">
        <v>1000</v>
      </c>
      <c r="H19" s="19">
        <v>1000</v>
      </c>
      <c r="I19" s="19">
        <v>1000</v>
      </c>
      <c r="J19" s="19">
        <v>1000</v>
      </c>
      <c r="K19" s="19">
        <v>1000</v>
      </c>
      <c r="L19" s="19">
        <v>1000</v>
      </c>
      <c r="M19" s="19">
        <v>1000</v>
      </c>
      <c r="N19" s="19">
        <v>1000</v>
      </c>
    </row>
    <row r="20" spans="1:15">
      <c r="A20" s="17"/>
      <c r="B20" s="20" t="s">
        <v>31</v>
      </c>
      <c r="C20" s="19">
        <v>5000</v>
      </c>
      <c r="D20" s="19">
        <v>5000</v>
      </c>
      <c r="E20" s="19">
        <v>5000</v>
      </c>
      <c r="F20" s="19">
        <v>5000</v>
      </c>
      <c r="G20" s="19">
        <v>5000</v>
      </c>
      <c r="H20" s="19">
        <v>5000</v>
      </c>
      <c r="I20" s="19">
        <v>5000</v>
      </c>
      <c r="J20" s="19">
        <v>5000</v>
      </c>
      <c r="K20" s="19">
        <v>5000</v>
      </c>
      <c r="L20" s="19">
        <v>5000</v>
      </c>
      <c r="M20" s="19">
        <v>5000</v>
      </c>
      <c r="N20" s="19">
        <v>5000</v>
      </c>
    </row>
    <row r="21" spans="1:15">
      <c r="A21" s="17"/>
      <c r="B21" s="20" t="s">
        <v>3</v>
      </c>
      <c r="C21" s="19">
        <v>300</v>
      </c>
      <c r="D21" s="19">
        <v>300</v>
      </c>
      <c r="E21" s="19">
        <v>300</v>
      </c>
      <c r="F21" s="19">
        <v>300</v>
      </c>
      <c r="G21" s="19">
        <v>300</v>
      </c>
      <c r="H21" s="19">
        <v>300</v>
      </c>
      <c r="I21" s="19">
        <v>300</v>
      </c>
      <c r="J21" s="19">
        <v>300</v>
      </c>
      <c r="K21" s="19">
        <v>300</v>
      </c>
      <c r="L21" s="19">
        <v>300</v>
      </c>
      <c r="M21" s="19">
        <v>300</v>
      </c>
      <c r="N21" s="19">
        <v>300</v>
      </c>
    </row>
    <row r="22" spans="1:15">
      <c r="A22" s="17"/>
      <c r="B22" s="20" t="s">
        <v>98</v>
      </c>
      <c r="C22" s="19">
        <v>500</v>
      </c>
      <c r="D22" s="19">
        <v>600</v>
      </c>
      <c r="E22" s="19">
        <v>300</v>
      </c>
      <c r="F22" s="19">
        <v>700</v>
      </c>
      <c r="G22" s="19">
        <v>100</v>
      </c>
      <c r="H22" s="19">
        <v>70</v>
      </c>
      <c r="I22" s="19">
        <v>4500</v>
      </c>
      <c r="J22" s="19">
        <v>7800</v>
      </c>
      <c r="K22" s="19">
        <v>900</v>
      </c>
      <c r="L22" s="19">
        <v>100</v>
      </c>
      <c r="M22" s="19">
        <v>300</v>
      </c>
      <c r="N22" s="19">
        <v>4300</v>
      </c>
    </row>
    <row r="23" spans="1:15">
      <c r="A23" s="17"/>
      <c r="B23" s="21" t="s">
        <v>127</v>
      </c>
      <c r="C23" s="19">
        <v>600</v>
      </c>
      <c r="D23" s="19">
        <v>300</v>
      </c>
      <c r="E23" s="19">
        <v>3000</v>
      </c>
      <c r="F23" s="19">
        <v>700</v>
      </c>
      <c r="G23" s="19">
        <v>680</v>
      </c>
      <c r="H23" s="19">
        <v>230</v>
      </c>
      <c r="I23" s="19">
        <v>1200</v>
      </c>
      <c r="J23" s="19">
        <v>6700</v>
      </c>
      <c r="K23" s="19">
        <v>3660</v>
      </c>
      <c r="L23" s="19">
        <v>400</v>
      </c>
      <c r="M23" s="19">
        <v>2300</v>
      </c>
      <c r="N23" s="19">
        <v>230</v>
      </c>
    </row>
    <row r="24" spans="1:15">
      <c r="A24" s="17"/>
      <c r="B24" s="20" t="s">
        <v>34</v>
      </c>
      <c r="C24" s="19">
        <f>250+50+100</f>
        <v>400</v>
      </c>
      <c r="D24" s="19">
        <f t="shared" ref="D24:N24" si="8">250+50+100</f>
        <v>400</v>
      </c>
      <c r="E24" s="19">
        <f t="shared" si="8"/>
        <v>400</v>
      </c>
      <c r="F24" s="19">
        <f t="shared" si="8"/>
        <v>400</v>
      </c>
      <c r="G24" s="19">
        <f t="shared" si="8"/>
        <v>400</v>
      </c>
      <c r="H24" s="19">
        <f t="shared" si="8"/>
        <v>400</v>
      </c>
      <c r="I24" s="19">
        <f t="shared" si="8"/>
        <v>400</v>
      </c>
      <c r="J24" s="19">
        <f t="shared" si="8"/>
        <v>400</v>
      </c>
      <c r="K24" s="19">
        <f t="shared" si="8"/>
        <v>400</v>
      </c>
      <c r="L24" s="19">
        <f t="shared" si="8"/>
        <v>400</v>
      </c>
      <c r="M24" s="19">
        <f t="shared" si="8"/>
        <v>400</v>
      </c>
      <c r="N24" s="19">
        <f t="shared" si="8"/>
        <v>400</v>
      </c>
    </row>
    <row r="25" spans="1:15">
      <c r="A25" s="17"/>
      <c r="B25" s="20" t="s">
        <v>99</v>
      </c>
      <c r="C25" s="82">
        <f>Table9[[#Totals],[Monthly Cost]]</f>
        <v>22500</v>
      </c>
      <c r="D25" s="82">
        <f>Table9[[#Totals],[Monthly Cost]]</f>
        <v>22500</v>
      </c>
      <c r="E25" s="82">
        <f>Table9[[#Totals],[Monthly Cost]]</f>
        <v>22500</v>
      </c>
      <c r="F25" s="82">
        <f>Table9[[#Totals],[Monthly Cost]]</f>
        <v>22500</v>
      </c>
      <c r="G25" s="82">
        <f>Table9[[#Totals],[Monthly Cost]]</f>
        <v>22500</v>
      </c>
      <c r="H25" s="82">
        <f>Table9[[#Totals],[Monthly Cost]]</f>
        <v>22500</v>
      </c>
      <c r="I25" s="82">
        <f>Table9[[#Totals],[Monthly Cost]]</f>
        <v>22500</v>
      </c>
      <c r="J25" s="82">
        <f>Table9[[#Totals],[Monthly Cost]]</f>
        <v>22500</v>
      </c>
      <c r="K25" s="82">
        <f>Table9[[#Totals],[Monthly Cost]]</f>
        <v>22500</v>
      </c>
      <c r="L25" s="82">
        <f>Table9[[#Totals],[Monthly Cost]]</f>
        <v>22500</v>
      </c>
      <c r="M25" s="82">
        <f>Table9[[#Totals],[Monthly Cost]]</f>
        <v>22500</v>
      </c>
      <c r="N25" s="82">
        <f>Table9[[#Totals],[Monthly Cost]]</f>
        <v>22500</v>
      </c>
      <c r="O25" s="81"/>
    </row>
    <row r="26" spans="1:15">
      <c r="A26" s="17"/>
      <c r="B26" s="20" t="s">
        <v>8</v>
      </c>
      <c r="C26" s="19">
        <v>2300</v>
      </c>
      <c r="D26" s="19">
        <v>2300</v>
      </c>
      <c r="E26" s="19">
        <v>2300</v>
      </c>
      <c r="F26" s="19">
        <v>2300</v>
      </c>
      <c r="G26" s="19">
        <v>2300</v>
      </c>
      <c r="H26" s="19">
        <v>2300</v>
      </c>
      <c r="I26" s="19">
        <v>2300</v>
      </c>
      <c r="J26" s="19">
        <v>2300</v>
      </c>
      <c r="K26" s="19">
        <v>2300</v>
      </c>
      <c r="L26" s="19">
        <v>2300</v>
      </c>
      <c r="M26" s="19">
        <v>2300</v>
      </c>
      <c r="N26" s="19">
        <v>2300</v>
      </c>
    </row>
    <row r="27" spans="1:15">
      <c r="A27" s="17"/>
      <c r="B27" s="20" t="s">
        <v>105</v>
      </c>
      <c r="C27" s="19">
        <f>C25*0.0765</f>
        <v>1721.25</v>
      </c>
      <c r="D27" s="19">
        <f t="shared" ref="D27:N27" si="9">D25*0.0765</f>
        <v>1721.25</v>
      </c>
      <c r="E27" s="19">
        <f t="shared" si="9"/>
        <v>1721.25</v>
      </c>
      <c r="F27" s="19">
        <f t="shared" si="9"/>
        <v>1721.25</v>
      </c>
      <c r="G27" s="19">
        <f t="shared" si="9"/>
        <v>1721.25</v>
      </c>
      <c r="H27" s="19">
        <f t="shared" si="9"/>
        <v>1721.25</v>
      </c>
      <c r="I27" s="19">
        <f t="shared" si="9"/>
        <v>1721.25</v>
      </c>
      <c r="J27" s="19">
        <f t="shared" si="9"/>
        <v>1721.25</v>
      </c>
      <c r="K27" s="19">
        <f t="shared" si="9"/>
        <v>1721.25</v>
      </c>
      <c r="L27" s="19">
        <f t="shared" si="9"/>
        <v>1721.25</v>
      </c>
      <c r="M27" s="19">
        <f t="shared" si="9"/>
        <v>1721.25</v>
      </c>
      <c r="N27" s="19">
        <f t="shared" si="9"/>
        <v>1721.25</v>
      </c>
    </row>
    <row r="28" spans="1:15">
      <c r="A28" s="17"/>
      <c r="B28" s="20" t="s">
        <v>103</v>
      </c>
      <c r="C28" s="19">
        <f>C25*0.006</f>
        <v>135</v>
      </c>
      <c r="D28" s="19">
        <f t="shared" ref="D28:N28" si="10">D25*0.006</f>
        <v>135</v>
      </c>
      <c r="E28" s="19">
        <f t="shared" si="10"/>
        <v>135</v>
      </c>
      <c r="F28" s="19">
        <f t="shared" si="10"/>
        <v>135</v>
      </c>
      <c r="G28" s="19">
        <f t="shared" si="10"/>
        <v>135</v>
      </c>
      <c r="H28" s="19">
        <f t="shared" si="10"/>
        <v>135</v>
      </c>
      <c r="I28" s="19">
        <f t="shared" si="10"/>
        <v>135</v>
      </c>
      <c r="J28" s="19">
        <f t="shared" si="10"/>
        <v>135</v>
      </c>
      <c r="K28" s="19">
        <f t="shared" si="10"/>
        <v>135</v>
      </c>
      <c r="L28" s="19">
        <f t="shared" si="10"/>
        <v>135</v>
      </c>
      <c r="M28" s="19">
        <f t="shared" si="10"/>
        <v>135</v>
      </c>
      <c r="N28" s="19">
        <f t="shared" si="10"/>
        <v>135</v>
      </c>
    </row>
    <row r="29" spans="1:15">
      <c r="A29" s="17"/>
      <c r="B29" s="20" t="s">
        <v>104</v>
      </c>
      <c r="C29" s="19">
        <f>C25*0.054</f>
        <v>1215</v>
      </c>
      <c r="D29" s="19">
        <f t="shared" ref="D29:N29" si="11">D25*0.054</f>
        <v>1215</v>
      </c>
      <c r="E29" s="19">
        <f t="shared" si="11"/>
        <v>1215</v>
      </c>
      <c r="F29" s="19">
        <f t="shared" si="11"/>
        <v>1215</v>
      </c>
      <c r="G29" s="19">
        <f t="shared" si="11"/>
        <v>1215</v>
      </c>
      <c r="H29" s="19">
        <f t="shared" si="11"/>
        <v>1215</v>
      </c>
      <c r="I29" s="19">
        <f t="shared" si="11"/>
        <v>1215</v>
      </c>
      <c r="J29" s="19">
        <f t="shared" si="11"/>
        <v>1215</v>
      </c>
      <c r="K29" s="19">
        <f t="shared" si="11"/>
        <v>1215</v>
      </c>
      <c r="L29" s="19">
        <f t="shared" si="11"/>
        <v>1215</v>
      </c>
      <c r="M29" s="19">
        <f t="shared" si="11"/>
        <v>1215</v>
      </c>
      <c r="N29" s="19">
        <f t="shared" si="11"/>
        <v>1215</v>
      </c>
    </row>
    <row r="30" spans="1:15">
      <c r="A30" s="17"/>
      <c r="B30" s="27" t="s">
        <v>76</v>
      </c>
      <c r="C30" s="39">
        <f t="shared" ref="C30:N30" si="12">SUM(C10:C29)</f>
        <v>77915.916666666657</v>
      </c>
      <c r="D30" s="39">
        <f t="shared" si="12"/>
        <v>74815.916666666657</v>
      </c>
      <c r="E30" s="39">
        <f t="shared" si="12"/>
        <v>73465.916666666672</v>
      </c>
      <c r="F30" s="39">
        <f t="shared" si="12"/>
        <v>79255.916666666657</v>
      </c>
      <c r="G30" s="39">
        <f t="shared" si="12"/>
        <v>77855.916666666657</v>
      </c>
      <c r="H30" s="39">
        <f t="shared" si="12"/>
        <v>71155.916666666672</v>
      </c>
      <c r="I30" s="39">
        <f t="shared" si="12"/>
        <v>71295.916666666672</v>
      </c>
      <c r="J30" s="39">
        <f t="shared" si="12"/>
        <v>88653.916666666672</v>
      </c>
      <c r="K30" s="39">
        <f t="shared" si="12"/>
        <v>132625.91666666666</v>
      </c>
      <c r="L30" s="39">
        <f t="shared" si="12"/>
        <v>74955.916666666657</v>
      </c>
      <c r="M30" s="39">
        <f t="shared" si="12"/>
        <v>82145.916666666657</v>
      </c>
      <c r="N30" s="39">
        <f t="shared" si="12"/>
        <v>87854.916666666657</v>
      </c>
      <c r="O30" s="81"/>
    </row>
    <row r="31" spans="1:15">
      <c r="A31" s="17"/>
      <c r="B31" s="17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</row>
    <row r="32" spans="1:15">
      <c r="A32" s="17"/>
      <c r="B32" s="28" t="s">
        <v>39</v>
      </c>
      <c r="C32" s="40">
        <f t="shared" ref="C32:N32" si="13">C8-C30</f>
        <v>12084.083333333343</v>
      </c>
      <c r="D32" s="40">
        <f t="shared" si="13"/>
        <v>3184.083333333343</v>
      </c>
      <c r="E32" s="40">
        <f t="shared" si="13"/>
        <v>1534.0833333333285</v>
      </c>
      <c r="F32" s="40">
        <f t="shared" si="13"/>
        <v>10744.083333333343</v>
      </c>
      <c r="G32" s="40">
        <f t="shared" si="13"/>
        <v>12144.083333333343</v>
      </c>
      <c r="H32" s="40">
        <f t="shared" si="13"/>
        <v>3844.0833333333285</v>
      </c>
      <c r="I32" s="40">
        <f t="shared" si="13"/>
        <v>-11295.916666666672</v>
      </c>
      <c r="J32" s="40">
        <f t="shared" si="13"/>
        <v>-28653.916666666672</v>
      </c>
      <c r="K32" s="40">
        <f t="shared" si="13"/>
        <v>-57625.916666666657</v>
      </c>
      <c r="L32" s="40">
        <f t="shared" si="13"/>
        <v>44.083333333343035</v>
      </c>
      <c r="M32" s="40">
        <f t="shared" si="13"/>
        <v>7854.083333333343</v>
      </c>
      <c r="N32" s="40">
        <f t="shared" si="13"/>
        <v>2145.083333333343</v>
      </c>
    </row>
    <row r="33" spans="1:15">
      <c r="A33" s="17"/>
      <c r="B33" s="20" t="s">
        <v>106</v>
      </c>
      <c r="C33" s="19">
        <v>2000</v>
      </c>
      <c r="D33" s="19">
        <v>200</v>
      </c>
      <c r="E33" s="19">
        <v>20</v>
      </c>
      <c r="F33" s="19">
        <v>3000</v>
      </c>
      <c r="G33" s="19">
        <v>4500</v>
      </c>
      <c r="H33" s="19">
        <v>560</v>
      </c>
      <c r="I33" s="19">
        <v>3400</v>
      </c>
      <c r="J33" s="19">
        <v>567</v>
      </c>
      <c r="K33" s="19">
        <v>1200</v>
      </c>
      <c r="L33" s="19">
        <f>'2022 Forecast'!C37*6%</f>
        <v>324</v>
      </c>
      <c r="M33" s="19">
        <v>1200</v>
      </c>
      <c r="N33" s="19">
        <v>1250</v>
      </c>
    </row>
    <row r="34" spans="1:15">
      <c r="A34" s="17"/>
      <c r="B34" s="20" t="s">
        <v>86</v>
      </c>
      <c r="C34" s="19">
        <f>50000/12</f>
        <v>4166.666666666667</v>
      </c>
      <c r="D34" s="19">
        <v>1200</v>
      </c>
      <c r="E34" s="19">
        <v>40</v>
      </c>
      <c r="F34" s="19">
        <v>800</v>
      </c>
      <c r="G34" s="19">
        <v>600</v>
      </c>
      <c r="H34" s="19">
        <v>2000</v>
      </c>
      <c r="I34" s="19">
        <v>5600</v>
      </c>
      <c r="J34" s="19">
        <v>909</v>
      </c>
      <c r="K34" s="19">
        <v>780</v>
      </c>
      <c r="L34" s="19">
        <v>560</v>
      </c>
      <c r="M34" s="19">
        <v>3400</v>
      </c>
      <c r="N34" s="19">
        <v>360</v>
      </c>
    </row>
    <row r="35" spans="1:15">
      <c r="A35" s="17"/>
      <c r="B35" s="20" t="s">
        <v>84</v>
      </c>
      <c r="C35" s="19">
        <v>5600</v>
      </c>
      <c r="D35" s="19">
        <v>400</v>
      </c>
      <c r="E35" s="19">
        <v>340</v>
      </c>
      <c r="F35" s="19">
        <v>500</v>
      </c>
      <c r="G35" s="19">
        <v>600</v>
      </c>
      <c r="H35" s="19">
        <v>1209</v>
      </c>
      <c r="I35" s="19">
        <v>2399</v>
      </c>
      <c r="J35" s="19">
        <v>9099</v>
      </c>
      <c r="K35" s="19">
        <v>785</v>
      </c>
      <c r="L35" s="19">
        <v>780</v>
      </c>
      <c r="M35" s="19">
        <v>600</v>
      </c>
      <c r="N35" s="19">
        <v>430</v>
      </c>
    </row>
    <row r="36" spans="1:15">
      <c r="A36" s="17"/>
      <c r="B36" s="20" t="s">
        <v>124</v>
      </c>
      <c r="C36" s="19">
        <v>1000</v>
      </c>
      <c r="D36" s="19">
        <v>300</v>
      </c>
      <c r="E36" s="19">
        <v>6500</v>
      </c>
      <c r="F36" s="19">
        <v>3090</v>
      </c>
      <c r="G36" s="19">
        <v>7090</v>
      </c>
      <c r="H36" s="19">
        <v>560</v>
      </c>
      <c r="I36" s="19">
        <v>1200</v>
      </c>
      <c r="J36" s="19">
        <v>675</v>
      </c>
      <c r="K36" s="19">
        <v>430</v>
      </c>
      <c r="L36" s="19">
        <v>800</v>
      </c>
      <c r="M36" s="19">
        <v>500</v>
      </c>
      <c r="N36" s="19">
        <v>100</v>
      </c>
    </row>
    <row r="37" spans="1:15">
      <c r="A37" s="17"/>
      <c r="B37" s="20" t="s">
        <v>100</v>
      </c>
      <c r="C37" s="19">
        <v>1500</v>
      </c>
      <c r="D37" s="19">
        <v>1000</v>
      </c>
      <c r="E37" s="19">
        <v>600</v>
      </c>
      <c r="F37" s="19">
        <v>2760</v>
      </c>
      <c r="G37" s="19">
        <v>840</v>
      </c>
      <c r="H37" s="19">
        <v>400</v>
      </c>
      <c r="I37" s="19">
        <v>4500</v>
      </c>
      <c r="J37" s="19">
        <v>3450</v>
      </c>
      <c r="K37" s="19">
        <v>1200</v>
      </c>
      <c r="L37" s="19">
        <v>780</v>
      </c>
      <c r="M37" s="19">
        <v>1300</v>
      </c>
      <c r="N37" s="19">
        <v>200</v>
      </c>
    </row>
    <row r="38" spans="1:15">
      <c r="A38" s="17"/>
      <c r="B38" s="20" t="s">
        <v>101</v>
      </c>
      <c r="C38" s="19">
        <f t="shared" ref="C38:N38" si="14">Payment</f>
        <v>3000.2657787347189</v>
      </c>
      <c r="D38" s="19">
        <f t="shared" si="14"/>
        <v>3000.2657787347189</v>
      </c>
      <c r="E38" s="19">
        <f t="shared" si="14"/>
        <v>3000.2657787347189</v>
      </c>
      <c r="F38" s="19">
        <f t="shared" si="14"/>
        <v>3000.2657787347189</v>
      </c>
      <c r="G38" s="19">
        <f t="shared" si="14"/>
        <v>3000.2657787347189</v>
      </c>
      <c r="H38" s="19">
        <f t="shared" si="14"/>
        <v>3000.2657787347189</v>
      </c>
      <c r="I38" s="19">
        <f t="shared" si="14"/>
        <v>3000.2657787347189</v>
      </c>
      <c r="J38" s="19">
        <f t="shared" si="14"/>
        <v>3000.2657787347189</v>
      </c>
      <c r="K38" s="19">
        <f t="shared" si="14"/>
        <v>3000.2657787347189</v>
      </c>
      <c r="L38" s="19">
        <f t="shared" si="14"/>
        <v>3000.2657787347189</v>
      </c>
      <c r="M38" s="19">
        <f t="shared" si="14"/>
        <v>3000.2657787347189</v>
      </c>
      <c r="N38" s="19">
        <f t="shared" si="14"/>
        <v>3000.2657787347189</v>
      </c>
    </row>
    <row r="39" spans="1:15">
      <c r="A39" s="17"/>
      <c r="B39" s="23" t="s">
        <v>102</v>
      </c>
      <c r="C39" s="41">
        <f t="shared" ref="C39:N39" si="15">C32-C33-C34+C35+C36-C37-C38</f>
        <v>8017.1508879319563</v>
      </c>
      <c r="D39" s="41">
        <f t="shared" si="15"/>
        <v>-1516.1824454013758</v>
      </c>
      <c r="E39" s="41">
        <f t="shared" si="15"/>
        <v>4713.8175545986096</v>
      </c>
      <c r="F39" s="41">
        <f t="shared" si="15"/>
        <v>4773.8175545986242</v>
      </c>
      <c r="G39" s="41">
        <f t="shared" si="15"/>
        <v>10893.817554598623</v>
      </c>
      <c r="H39" s="41">
        <f t="shared" si="15"/>
        <v>-347.1824454013904</v>
      </c>
      <c r="I39" s="41">
        <f t="shared" si="15"/>
        <v>-24197.182445401391</v>
      </c>
      <c r="J39" s="41">
        <f t="shared" si="15"/>
        <v>-26806.182445401391</v>
      </c>
      <c r="K39" s="41">
        <f t="shared" si="15"/>
        <v>-62591.182445401377</v>
      </c>
      <c r="L39" s="41">
        <f t="shared" si="15"/>
        <v>-3040.1824454013758</v>
      </c>
      <c r="M39" s="41">
        <f t="shared" si="15"/>
        <v>53.817554598624156</v>
      </c>
      <c r="N39" s="41">
        <f t="shared" si="15"/>
        <v>-2135.1824454013758</v>
      </c>
    </row>
    <row r="40" spans="1:15">
      <c r="A40" s="17"/>
      <c r="B40" s="17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</row>
    <row r="41" spans="1:15">
      <c r="A41" s="17"/>
      <c r="B41" s="25" t="s">
        <v>79</v>
      </c>
      <c r="C41" s="29">
        <f t="shared" ref="C41:N41" si="16">C4+C39</f>
        <v>-601089.34205499478</v>
      </c>
      <c r="D41" s="29">
        <f t="shared" si="16"/>
        <v>-602605.5245003961</v>
      </c>
      <c r="E41" s="29">
        <f t="shared" si="16"/>
        <v>-597891.70694579754</v>
      </c>
      <c r="F41" s="29">
        <f t="shared" si="16"/>
        <v>-593117.88939119887</v>
      </c>
      <c r="G41" s="29">
        <f t="shared" si="16"/>
        <v>-582224.0718366002</v>
      </c>
      <c r="H41" s="29">
        <f t="shared" si="16"/>
        <v>-582571.25428200164</v>
      </c>
      <c r="I41" s="29">
        <f t="shared" si="16"/>
        <v>-606768.43672740308</v>
      </c>
      <c r="J41" s="29">
        <f t="shared" si="16"/>
        <v>-633574.61917280452</v>
      </c>
      <c r="K41" s="29">
        <f t="shared" si="16"/>
        <v>-696165.80161820585</v>
      </c>
      <c r="L41" s="29">
        <f t="shared" si="16"/>
        <v>-699205.98406360717</v>
      </c>
      <c r="M41" s="29">
        <f t="shared" si="16"/>
        <v>-699152.1665090085</v>
      </c>
      <c r="N41" s="29">
        <f t="shared" si="16"/>
        <v>-701287.34895440983</v>
      </c>
    </row>
    <row r="43" spans="1:15">
      <c r="B43" s="72" t="s">
        <v>125</v>
      </c>
      <c r="C43" s="73">
        <f t="shared" ref="C43:N43" si="17">C32/C6</f>
        <v>1.8477191641182483E-2</v>
      </c>
      <c r="D43" s="73">
        <f t="shared" si="17"/>
        <v>5.8103710462287282E-3</v>
      </c>
      <c r="E43" s="73">
        <f t="shared" si="17"/>
        <v>2.8148318042813367E-3</v>
      </c>
      <c r="F43" s="73">
        <f t="shared" si="17"/>
        <v>1.6428261977573921E-2</v>
      </c>
      <c r="G43" s="73">
        <f t="shared" si="17"/>
        <v>1.8568934760448536E-2</v>
      </c>
      <c r="H43" s="73">
        <f t="shared" si="17"/>
        <v>7.0533639143730799E-3</v>
      </c>
      <c r="I43" s="73">
        <f t="shared" si="17"/>
        <v>-2.5908065749235484E-2</v>
      </c>
      <c r="J43" s="73">
        <f t="shared" si="17"/>
        <v>-6.5719992354740076E-2</v>
      </c>
      <c r="K43" s="73">
        <f t="shared" si="17"/>
        <v>-0.10573562691131497</v>
      </c>
      <c r="L43" s="73">
        <f t="shared" si="17"/>
        <v>8.0886850152923006E-5</v>
      </c>
      <c r="M43" s="73">
        <f t="shared" si="17"/>
        <v>1.20093017329256E-2</v>
      </c>
      <c r="N43" s="73">
        <f t="shared" si="17"/>
        <v>3.2799439347604635E-3</v>
      </c>
    </row>
    <row r="44" spans="1:15">
      <c r="B44" s="72" t="s">
        <v>169</v>
      </c>
      <c r="C44" s="75">
        <f>C39/C38</f>
        <v>2.6721468960369816</v>
      </c>
      <c r="D44" s="75">
        <f t="shared" ref="D44:N44" si="18">D32/D38</f>
        <v>1.061267090369622</v>
      </c>
      <c r="E44" s="75">
        <f t="shared" si="18"/>
        <v>0.51131581215457744</v>
      </c>
      <c r="F44" s="75">
        <f t="shared" si="18"/>
        <v>3.58104385600944</v>
      </c>
      <c r="G44" s="75">
        <f t="shared" si="18"/>
        <v>4.0476691829797771</v>
      </c>
      <c r="H44" s="75">
        <f t="shared" si="18"/>
        <v>1.2812476016556329</v>
      </c>
      <c r="I44" s="75">
        <f t="shared" si="18"/>
        <v>-3.7649720057235796</v>
      </c>
      <c r="J44" s="75">
        <f t="shared" si="18"/>
        <v>-9.5504594525457964</v>
      </c>
      <c r="K44" s="75">
        <f t="shared" si="18"/>
        <v>-19.206937290391931</v>
      </c>
      <c r="L44" s="75">
        <f t="shared" si="18"/>
        <v>1.4693142736152525E-2</v>
      </c>
      <c r="M44" s="75">
        <f t="shared" si="18"/>
        <v>2.6177958596206734</v>
      </c>
      <c r="N44" s="75">
        <f t="shared" si="18"/>
        <v>0.71496443699663637</v>
      </c>
      <c r="O44" s="127">
        <f>AVERAGE(C44:N44)</f>
        <v>-1.3350187391751511</v>
      </c>
    </row>
  </sheetData>
  <mergeCells count="2">
    <mergeCell ref="A1:N1"/>
    <mergeCell ref="A2:N2"/>
  </mergeCells>
  <pageMargins left="0.7" right="0.7" top="0.75" bottom="0.75" header="0.3" footer="0.3"/>
  <pageSetup scale="52" orientation="landscape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/>
  </sheetPr>
  <dimension ref="A1:N65"/>
  <sheetViews>
    <sheetView tabSelected="1" topLeftCell="A53" zoomScale="106" zoomScaleNormal="106" zoomScalePageLayoutView="91" workbookViewId="0">
      <selection activeCell="I65" sqref="B48:I65"/>
    </sheetView>
  </sheetViews>
  <sheetFormatPr defaultColWidth="8.875" defaultRowHeight="15.75"/>
  <cols>
    <col min="1" max="1" width="2.125" customWidth="1"/>
    <col min="2" max="2" width="44.625" customWidth="1"/>
    <col min="3" max="14" width="13.125" customWidth="1"/>
  </cols>
  <sheetData>
    <row r="1" spans="1:14" ht="23.25" hidden="1">
      <c r="A1" s="151">
        <f>Transactions!A1:H1</f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</row>
    <row r="2" spans="1:14" ht="23.25">
      <c r="A2" s="152" t="s">
        <v>107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>
      <c r="A3" s="17"/>
      <c r="B3" s="17"/>
      <c r="C3" s="18" t="s">
        <v>61</v>
      </c>
      <c r="D3" s="18" t="s">
        <v>62</v>
      </c>
      <c r="E3" s="18" t="s">
        <v>63</v>
      </c>
      <c r="F3" s="18" t="s">
        <v>64</v>
      </c>
      <c r="G3" s="18" t="s">
        <v>65</v>
      </c>
      <c r="H3" s="18" t="s">
        <v>66</v>
      </c>
      <c r="I3" s="18" t="s">
        <v>67</v>
      </c>
      <c r="J3" s="18" t="s">
        <v>68</v>
      </c>
      <c r="K3" s="18" t="s">
        <v>69</v>
      </c>
      <c r="L3" s="18" t="s">
        <v>70</v>
      </c>
      <c r="M3" s="18" t="s">
        <v>71</v>
      </c>
      <c r="N3" s="18" t="s">
        <v>72</v>
      </c>
    </row>
    <row r="4" spans="1:14">
      <c r="A4" s="17"/>
      <c r="B4" s="25" t="s">
        <v>78</v>
      </c>
      <c r="C4" s="26" t="e">
        <f>#REF!</f>
        <v>#REF!</v>
      </c>
      <c r="D4" s="26" t="e">
        <f>C42</f>
        <v>#REF!</v>
      </c>
      <c r="E4" s="26" t="e">
        <f t="shared" ref="E4:N4" si="0">D42</f>
        <v>#REF!</v>
      </c>
      <c r="F4" s="26" t="e">
        <f t="shared" si="0"/>
        <v>#REF!</v>
      </c>
      <c r="G4" s="26" t="e">
        <f t="shared" si="0"/>
        <v>#REF!</v>
      </c>
      <c r="H4" s="26" t="e">
        <f t="shared" si="0"/>
        <v>#REF!</v>
      </c>
      <c r="I4" s="26" t="e">
        <f t="shared" si="0"/>
        <v>#REF!</v>
      </c>
      <c r="J4" s="26" t="e">
        <f t="shared" si="0"/>
        <v>#REF!</v>
      </c>
      <c r="K4" s="26" t="e">
        <f t="shared" si="0"/>
        <v>#REF!</v>
      </c>
      <c r="L4" s="26" t="e">
        <f t="shared" si="0"/>
        <v>#REF!</v>
      </c>
      <c r="M4" s="26" t="e">
        <f t="shared" si="0"/>
        <v>#REF!</v>
      </c>
      <c r="N4" s="26" t="e">
        <f t="shared" si="0"/>
        <v>#REF!</v>
      </c>
    </row>
    <row r="5" spans="1:14">
      <c r="A5" s="17"/>
      <c r="B5" s="17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4">
      <c r="A6" s="17"/>
      <c r="B6" s="30" t="s">
        <v>74</v>
      </c>
      <c r="C6" s="24">
        <v>72140</v>
      </c>
      <c r="D6" s="24">
        <v>65790</v>
      </c>
      <c r="E6" s="24">
        <v>178090</v>
      </c>
      <c r="F6" s="24">
        <v>230900</v>
      </c>
      <c r="G6" s="24">
        <v>348090</v>
      </c>
      <c r="H6" s="24">
        <v>546000</v>
      </c>
      <c r="I6" s="24">
        <v>234000</v>
      </c>
      <c r="J6" s="24">
        <v>345090</v>
      </c>
      <c r="K6" s="24">
        <v>237090</v>
      </c>
      <c r="L6" s="24">
        <v>340890</v>
      </c>
      <c r="M6" s="24">
        <v>328090</v>
      </c>
      <c r="N6" s="24">
        <v>348090</v>
      </c>
    </row>
    <row r="7" spans="1:14">
      <c r="A7" s="17"/>
      <c r="B7" s="30" t="s">
        <v>73</v>
      </c>
      <c r="C7" s="24">
        <v>30000</v>
      </c>
      <c r="D7" s="24">
        <v>3490</v>
      </c>
      <c r="E7" s="24">
        <v>37807</v>
      </c>
      <c r="F7" s="24">
        <v>43280</v>
      </c>
      <c r="G7" s="24">
        <v>156090</v>
      </c>
      <c r="H7" s="24">
        <v>236700</v>
      </c>
      <c r="I7" s="24">
        <v>167000</v>
      </c>
      <c r="J7" s="24">
        <v>134090</v>
      </c>
      <c r="K7" s="24">
        <v>125679</v>
      </c>
      <c r="L7" s="24">
        <v>237000</v>
      </c>
      <c r="M7" s="24">
        <v>178909</v>
      </c>
      <c r="N7" s="24">
        <v>190760</v>
      </c>
    </row>
    <row r="8" spans="1:14">
      <c r="A8" s="17"/>
      <c r="B8" s="23" t="s">
        <v>75</v>
      </c>
      <c r="C8" s="31">
        <f t="shared" ref="C8:N8" si="1">C6-C7</f>
        <v>42140</v>
      </c>
      <c r="D8" s="31">
        <f t="shared" si="1"/>
        <v>62300</v>
      </c>
      <c r="E8" s="31">
        <f t="shared" si="1"/>
        <v>140283</v>
      </c>
      <c r="F8" s="31">
        <f t="shared" si="1"/>
        <v>187620</v>
      </c>
      <c r="G8" s="31">
        <f t="shared" si="1"/>
        <v>192000</v>
      </c>
      <c r="H8" s="31">
        <f t="shared" si="1"/>
        <v>309300</v>
      </c>
      <c r="I8" s="31">
        <f t="shared" si="1"/>
        <v>67000</v>
      </c>
      <c r="J8" s="31">
        <f t="shared" si="1"/>
        <v>211000</v>
      </c>
      <c r="K8" s="31">
        <f t="shared" si="1"/>
        <v>111411</v>
      </c>
      <c r="L8" s="31">
        <f t="shared" si="1"/>
        <v>103890</v>
      </c>
      <c r="M8" s="31">
        <f t="shared" si="1"/>
        <v>149181</v>
      </c>
      <c r="N8" s="31">
        <f t="shared" si="1"/>
        <v>157330</v>
      </c>
    </row>
    <row r="9" spans="1:14">
      <c r="A9" s="17"/>
      <c r="B9" s="17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1:14">
      <c r="A10" s="17"/>
      <c r="B10" s="20" t="s">
        <v>4</v>
      </c>
      <c r="C10" s="19">
        <v>450</v>
      </c>
      <c r="D10" s="19">
        <v>12370</v>
      </c>
      <c r="E10" s="19">
        <v>3240</v>
      </c>
      <c r="F10" s="19">
        <v>2340</v>
      </c>
      <c r="G10" s="19">
        <v>5400</v>
      </c>
      <c r="H10" s="19">
        <v>45670</v>
      </c>
      <c r="I10" s="19">
        <v>3240</v>
      </c>
      <c r="J10" s="19">
        <v>45009</v>
      </c>
      <c r="K10" s="19">
        <v>2300</v>
      </c>
      <c r="L10" s="19">
        <v>56090</v>
      </c>
      <c r="M10" s="19">
        <v>23609</v>
      </c>
      <c r="N10" s="19">
        <v>3200</v>
      </c>
    </row>
    <row r="11" spans="1:14">
      <c r="A11" s="17"/>
      <c r="B11" s="20" t="s">
        <v>17</v>
      </c>
      <c r="C11" s="19">
        <v>450</v>
      </c>
      <c r="D11" s="19">
        <v>4569</v>
      </c>
      <c r="E11" s="19">
        <v>6700</v>
      </c>
      <c r="F11" s="19">
        <v>7890</v>
      </c>
      <c r="G11" s="19">
        <v>6780</v>
      </c>
      <c r="H11" s="19">
        <v>3420</v>
      </c>
      <c r="I11" s="19">
        <v>12370</v>
      </c>
      <c r="J11" s="19">
        <v>9000</v>
      </c>
      <c r="K11" s="19">
        <v>4590</v>
      </c>
      <c r="L11" s="19">
        <v>7800</v>
      </c>
      <c r="M11" s="19">
        <v>6090</v>
      </c>
      <c r="N11" s="19">
        <v>8900</v>
      </c>
    </row>
    <row r="12" spans="1:14">
      <c r="A12" s="17"/>
      <c r="B12" s="20" t="s">
        <v>18</v>
      </c>
      <c r="C12" s="19">
        <v>3460</v>
      </c>
      <c r="D12" s="19">
        <v>6750</v>
      </c>
      <c r="E12" s="19">
        <v>7600</v>
      </c>
      <c r="F12" s="19">
        <v>2390</v>
      </c>
      <c r="G12" s="19">
        <v>2300</v>
      </c>
      <c r="H12" s="19">
        <v>21670</v>
      </c>
      <c r="I12" s="19">
        <v>5690</v>
      </c>
      <c r="J12" s="19">
        <v>7600</v>
      </c>
      <c r="K12" s="19">
        <v>7600</v>
      </c>
      <c r="L12" s="19">
        <v>7900</v>
      </c>
      <c r="M12" s="19">
        <v>2160</v>
      </c>
      <c r="N12" s="19">
        <v>5600</v>
      </c>
    </row>
    <row r="13" spans="1:14">
      <c r="A13" s="17"/>
      <c r="B13" s="20" t="s">
        <v>2</v>
      </c>
      <c r="C13" s="19">
        <v>6509</v>
      </c>
      <c r="D13" s="19">
        <v>5400</v>
      </c>
      <c r="E13" s="19">
        <v>1209</v>
      </c>
      <c r="F13" s="19">
        <v>56450</v>
      </c>
      <c r="G13" s="19">
        <v>1246</v>
      </c>
      <c r="H13" s="19">
        <v>5670</v>
      </c>
      <c r="I13" s="19">
        <v>5600</v>
      </c>
      <c r="J13" s="19">
        <v>21300</v>
      </c>
      <c r="K13" s="19">
        <v>7900</v>
      </c>
      <c r="L13" s="19">
        <v>2300</v>
      </c>
      <c r="M13" s="19">
        <v>4500</v>
      </c>
      <c r="N13" s="19">
        <v>5430</v>
      </c>
    </row>
    <row r="14" spans="1:14">
      <c r="A14" s="17"/>
      <c r="B14" s="20" t="s">
        <v>21</v>
      </c>
      <c r="C14" s="19">
        <v>1250</v>
      </c>
      <c r="D14" s="19">
        <v>4790</v>
      </c>
      <c r="E14" s="19">
        <v>3240</v>
      </c>
      <c r="F14" s="19">
        <v>5609</v>
      </c>
      <c r="G14" s="19">
        <v>900</v>
      </c>
      <c r="H14" s="19">
        <v>5640</v>
      </c>
      <c r="I14" s="19">
        <v>3200</v>
      </c>
      <c r="J14" s="19">
        <v>5600</v>
      </c>
      <c r="K14" s="19">
        <v>1280</v>
      </c>
      <c r="L14" s="19">
        <v>5400</v>
      </c>
      <c r="M14" s="19">
        <v>3480</v>
      </c>
      <c r="N14" s="19">
        <v>2123</v>
      </c>
    </row>
    <row r="15" spans="1:14">
      <c r="A15" s="17"/>
      <c r="B15" s="20" t="s">
        <v>22</v>
      </c>
      <c r="C15" s="19">
        <v>2340</v>
      </c>
      <c r="D15" s="19">
        <v>6120</v>
      </c>
      <c r="E15" s="19">
        <v>4555</v>
      </c>
      <c r="F15" s="19">
        <v>120</v>
      </c>
      <c r="G15" s="19">
        <v>6700</v>
      </c>
      <c r="H15" s="19">
        <v>4320</v>
      </c>
      <c r="I15" s="19">
        <v>1200</v>
      </c>
      <c r="J15" s="19">
        <v>6790</v>
      </c>
      <c r="K15" s="19">
        <v>5609</v>
      </c>
      <c r="L15" s="19">
        <v>788</v>
      </c>
      <c r="M15" s="19">
        <v>1200</v>
      </c>
      <c r="N15" s="19">
        <v>8900</v>
      </c>
    </row>
    <row r="16" spans="1:14">
      <c r="A16" s="17"/>
      <c r="B16" s="20" t="s">
        <v>25</v>
      </c>
      <c r="C16" s="19">
        <v>3480</v>
      </c>
      <c r="D16" s="19">
        <v>4300</v>
      </c>
      <c r="E16" s="19">
        <v>670</v>
      </c>
      <c r="F16" s="19">
        <v>4300</v>
      </c>
      <c r="G16" s="19">
        <v>5700</v>
      </c>
      <c r="H16" s="19">
        <v>12380</v>
      </c>
      <c r="I16" s="19">
        <v>3400</v>
      </c>
      <c r="J16" s="19">
        <v>7600</v>
      </c>
      <c r="K16" s="19">
        <v>5690</v>
      </c>
      <c r="L16" s="19">
        <v>800</v>
      </c>
      <c r="M16" s="19">
        <v>2130</v>
      </c>
      <c r="N16" s="19">
        <v>4300</v>
      </c>
    </row>
    <row r="17" spans="1:14">
      <c r="A17" s="17"/>
      <c r="B17" s="20" t="s">
        <v>26</v>
      </c>
      <c r="C17" s="19">
        <v>2360</v>
      </c>
      <c r="D17" s="19">
        <v>600</v>
      </c>
      <c r="E17" s="19">
        <v>5456</v>
      </c>
      <c r="F17" s="19">
        <v>7800</v>
      </c>
      <c r="G17" s="19">
        <v>2300</v>
      </c>
      <c r="H17" s="19">
        <v>7800</v>
      </c>
      <c r="I17" s="19">
        <v>3490</v>
      </c>
      <c r="J17" s="19">
        <v>720</v>
      </c>
      <c r="K17" s="19">
        <v>2348</v>
      </c>
      <c r="L17" s="19">
        <v>650</v>
      </c>
      <c r="M17" s="19">
        <v>1230</v>
      </c>
      <c r="N17" s="19">
        <v>1290</v>
      </c>
    </row>
    <row r="18" spans="1:14">
      <c r="A18" s="17"/>
      <c r="B18" s="21" t="s">
        <v>96</v>
      </c>
      <c r="C18" s="19">
        <v>2300</v>
      </c>
      <c r="D18" s="19">
        <v>320</v>
      </c>
      <c r="E18" s="19">
        <v>1230</v>
      </c>
      <c r="F18" s="19">
        <v>6700</v>
      </c>
      <c r="G18" s="19">
        <v>1200</v>
      </c>
      <c r="H18" s="19">
        <v>700</v>
      </c>
      <c r="I18" s="19">
        <v>900</v>
      </c>
      <c r="J18" s="19">
        <v>1200</v>
      </c>
      <c r="K18" s="19">
        <v>5670</v>
      </c>
      <c r="L18" s="19">
        <v>340</v>
      </c>
      <c r="M18" s="19">
        <v>3400</v>
      </c>
      <c r="N18" s="19">
        <v>2360</v>
      </c>
    </row>
    <row r="19" spans="1:14">
      <c r="A19" s="17"/>
      <c r="B19" s="21" t="s">
        <v>97</v>
      </c>
      <c r="C19" s="19">
        <v>120</v>
      </c>
      <c r="D19" s="19">
        <v>540</v>
      </c>
      <c r="E19" s="19">
        <v>4300</v>
      </c>
      <c r="F19" s="19">
        <v>7680</v>
      </c>
      <c r="G19" s="19">
        <v>5600</v>
      </c>
      <c r="H19" s="19">
        <v>23700</v>
      </c>
      <c r="I19" s="19">
        <v>7800</v>
      </c>
      <c r="J19" s="19">
        <v>900</v>
      </c>
      <c r="K19" s="19">
        <v>230</v>
      </c>
      <c r="L19" s="19">
        <v>430</v>
      </c>
      <c r="M19" s="19">
        <v>7800</v>
      </c>
      <c r="N19" s="19">
        <v>5690</v>
      </c>
    </row>
    <row r="20" spans="1:14">
      <c r="A20" s="17"/>
      <c r="B20" s="20" t="s">
        <v>31</v>
      </c>
      <c r="C20" s="19">
        <v>2300</v>
      </c>
      <c r="D20" s="19">
        <v>120</v>
      </c>
      <c r="E20" s="19">
        <v>8700</v>
      </c>
      <c r="F20" s="19">
        <v>780</v>
      </c>
      <c r="G20" s="19">
        <v>4500</v>
      </c>
      <c r="H20" s="19">
        <v>8900</v>
      </c>
      <c r="I20" s="19">
        <v>9000</v>
      </c>
      <c r="J20" s="19">
        <v>1200</v>
      </c>
      <c r="K20" s="19">
        <v>6780</v>
      </c>
      <c r="L20" s="19">
        <v>3210</v>
      </c>
      <c r="M20" s="19">
        <v>700</v>
      </c>
      <c r="N20" s="19">
        <v>5460</v>
      </c>
    </row>
    <row r="21" spans="1:14">
      <c r="A21" s="17"/>
      <c r="B21" s="20" t="s">
        <v>3</v>
      </c>
      <c r="C21" s="19">
        <v>230</v>
      </c>
      <c r="D21" s="19">
        <v>230</v>
      </c>
      <c r="E21" s="19">
        <v>5460</v>
      </c>
      <c r="F21" s="19">
        <v>3200</v>
      </c>
      <c r="G21" s="19">
        <v>3400</v>
      </c>
      <c r="H21" s="19">
        <v>7800</v>
      </c>
      <c r="I21" s="19">
        <v>3200</v>
      </c>
      <c r="J21" s="19">
        <v>3200</v>
      </c>
      <c r="K21" s="19">
        <v>7680</v>
      </c>
      <c r="L21" s="19">
        <v>210</v>
      </c>
      <c r="M21" s="19">
        <v>1270</v>
      </c>
      <c r="N21" s="19">
        <v>6531</v>
      </c>
    </row>
    <row r="22" spans="1:14">
      <c r="A22" s="17"/>
      <c r="B22" s="20" t="s">
        <v>98</v>
      </c>
      <c r="C22" s="19">
        <v>160</v>
      </c>
      <c r="D22" s="19">
        <v>1200</v>
      </c>
      <c r="E22" s="19">
        <v>3240</v>
      </c>
      <c r="F22" s="19">
        <v>780</v>
      </c>
      <c r="G22" s="19">
        <v>600</v>
      </c>
      <c r="H22" s="19">
        <v>800</v>
      </c>
      <c r="I22" s="19">
        <v>1200</v>
      </c>
      <c r="J22" s="19">
        <v>800</v>
      </c>
      <c r="K22" s="19">
        <v>6750</v>
      </c>
      <c r="L22" s="19">
        <v>3210</v>
      </c>
      <c r="M22" s="19">
        <v>320</v>
      </c>
      <c r="N22" s="19">
        <v>3100</v>
      </c>
    </row>
    <row r="23" spans="1:14">
      <c r="A23" s="17"/>
      <c r="B23" s="21" t="s">
        <v>32</v>
      </c>
      <c r="C23" s="19">
        <v>6700</v>
      </c>
      <c r="D23" s="19">
        <v>560</v>
      </c>
      <c r="E23" s="19">
        <v>1230</v>
      </c>
      <c r="F23" s="19">
        <v>780</v>
      </c>
      <c r="G23" s="19">
        <v>1260</v>
      </c>
      <c r="H23" s="19">
        <v>1200</v>
      </c>
      <c r="I23" s="19">
        <v>390</v>
      </c>
      <c r="J23" s="19">
        <v>400</v>
      </c>
      <c r="K23" s="19">
        <v>4500</v>
      </c>
      <c r="L23" s="19">
        <v>580</v>
      </c>
      <c r="M23" s="19">
        <v>7800</v>
      </c>
      <c r="N23" s="19">
        <v>1200</v>
      </c>
    </row>
    <row r="24" spans="1:14">
      <c r="A24" s="17"/>
      <c r="B24" s="21" t="s">
        <v>33</v>
      </c>
      <c r="C24" s="19">
        <v>3200</v>
      </c>
      <c r="D24" s="19">
        <v>540</v>
      </c>
      <c r="E24" s="19">
        <v>3240</v>
      </c>
      <c r="F24" s="19">
        <v>780</v>
      </c>
      <c r="G24" s="19">
        <v>560</v>
      </c>
      <c r="H24" s="19">
        <v>560</v>
      </c>
      <c r="I24" s="19">
        <v>540</v>
      </c>
      <c r="J24" s="19">
        <v>2100</v>
      </c>
      <c r="K24" s="19">
        <v>6700</v>
      </c>
      <c r="L24" s="19">
        <v>6790</v>
      </c>
      <c r="M24" s="19">
        <v>560</v>
      </c>
      <c r="N24" s="19">
        <v>560</v>
      </c>
    </row>
    <row r="25" spans="1:14">
      <c r="A25" s="17"/>
      <c r="B25" s="20" t="s">
        <v>34</v>
      </c>
      <c r="C25" s="19">
        <v>230</v>
      </c>
      <c r="D25" s="19">
        <v>100</v>
      </c>
      <c r="E25" s="19">
        <v>100</v>
      </c>
      <c r="F25" s="19">
        <v>100</v>
      </c>
      <c r="G25" s="19">
        <v>1340</v>
      </c>
      <c r="H25" s="19">
        <v>3400</v>
      </c>
      <c r="I25" s="19">
        <v>3240</v>
      </c>
      <c r="J25" s="19">
        <v>2100</v>
      </c>
      <c r="K25" s="19">
        <v>3210</v>
      </c>
      <c r="L25" s="19">
        <v>780</v>
      </c>
      <c r="M25" s="19">
        <v>600</v>
      </c>
      <c r="N25" s="19">
        <v>5600</v>
      </c>
    </row>
    <row r="26" spans="1:14">
      <c r="A26" s="17"/>
      <c r="B26" s="20" t="s">
        <v>99</v>
      </c>
      <c r="C26" s="19">
        <v>2380</v>
      </c>
      <c r="D26" s="19">
        <v>1600</v>
      </c>
      <c r="E26" s="19">
        <v>380</v>
      </c>
      <c r="F26" s="19">
        <v>230</v>
      </c>
      <c r="G26" s="19">
        <v>4590</v>
      </c>
      <c r="H26" s="19">
        <v>3490</v>
      </c>
      <c r="I26" s="19">
        <v>120</v>
      </c>
      <c r="J26" s="19">
        <v>700</v>
      </c>
      <c r="K26" s="19">
        <v>200</v>
      </c>
      <c r="L26" s="19">
        <v>210</v>
      </c>
      <c r="M26" s="19">
        <v>560</v>
      </c>
      <c r="N26" s="19">
        <v>4560</v>
      </c>
    </row>
    <row r="27" spans="1:14">
      <c r="A27" s="17"/>
      <c r="B27" s="20" t="s">
        <v>8</v>
      </c>
      <c r="C27" s="19">
        <v>4590</v>
      </c>
      <c r="D27" s="19">
        <v>2000</v>
      </c>
      <c r="E27" s="19">
        <v>3490</v>
      </c>
      <c r="F27" s="19">
        <v>7600</v>
      </c>
      <c r="G27" s="19">
        <v>1200</v>
      </c>
      <c r="H27" s="19">
        <v>1200</v>
      </c>
      <c r="I27" s="19">
        <v>100</v>
      </c>
      <c r="J27" s="19">
        <v>2100</v>
      </c>
      <c r="K27" s="19">
        <v>8900</v>
      </c>
      <c r="L27" s="19">
        <v>700</v>
      </c>
      <c r="M27" s="19">
        <v>2300</v>
      </c>
      <c r="N27" s="19">
        <v>6700</v>
      </c>
    </row>
    <row r="28" spans="1:14">
      <c r="A28" s="17"/>
      <c r="B28" s="20" t="s">
        <v>105</v>
      </c>
      <c r="C28" s="19">
        <f t="shared" ref="C28:N28" si="2">C26*0.0765</f>
        <v>182.07</v>
      </c>
      <c r="D28" s="19">
        <f t="shared" si="2"/>
        <v>122.39999999999999</v>
      </c>
      <c r="E28" s="19">
        <f t="shared" si="2"/>
        <v>29.07</v>
      </c>
      <c r="F28" s="19">
        <f t="shared" si="2"/>
        <v>17.594999999999999</v>
      </c>
      <c r="G28" s="19">
        <f t="shared" si="2"/>
        <v>351.13499999999999</v>
      </c>
      <c r="H28" s="19">
        <f t="shared" si="2"/>
        <v>266.98500000000001</v>
      </c>
      <c r="I28" s="19">
        <f t="shared" si="2"/>
        <v>9.18</v>
      </c>
      <c r="J28" s="19">
        <f t="shared" si="2"/>
        <v>53.55</v>
      </c>
      <c r="K28" s="19">
        <f t="shared" si="2"/>
        <v>15.299999999999999</v>
      </c>
      <c r="L28" s="19">
        <f t="shared" si="2"/>
        <v>16.065000000000001</v>
      </c>
      <c r="M28" s="19">
        <f t="shared" si="2"/>
        <v>42.839999999999996</v>
      </c>
      <c r="N28" s="19">
        <f t="shared" si="2"/>
        <v>348.84</v>
      </c>
    </row>
    <row r="29" spans="1:14">
      <c r="A29" s="17"/>
      <c r="B29" s="20" t="s">
        <v>103</v>
      </c>
      <c r="C29" s="19">
        <v>4530</v>
      </c>
      <c r="D29" s="19">
        <v>1290</v>
      </c>
      <c r="E29" s="19">
        <v>400</v>
      </c>
      <c r="F29" s="19">
        <v>1230</v>
      </c>
      <c r="G29" s="19">
        <v>3280</v>
      </c>
      <c r="H29" s="19">
        <v>3400</v>
      </c>
      <c r="I29" s="19">
        <v>700</v>
      </c>
      <c r="J29" s="19">
        <v>4300</v>
      </c>
      <c r="K29" s="19">
        <v>8900</v>
      </c>
      <c r="L29" s="19">
        <v>120</v>
      </c>
      <c r="M29" s="19">
        <v>1200</v>
      </c>
      <c r="N29" s="19">
        <v>210</v>
      </c>
    </row>
    <row r="30" spans="1:14">
      <c r="A30" s="17"/>
      <c r="B30" s="20" t="s">
        <v>104</v>
      </c>
      <c r="C30" s="19">
        <v>2300</v>
      </c>
      <c r="D30" s="19">
        <v>0</v>
      </c>
      <c r="E30" s="19">
        <v>120</v>
      </c>
      <c r="F30" s="19">
        <v>5400</v>
      </c>
      <c r="G30" s="19">
        <v>780</v>
      </c>
      <c r="H30" s="19">
        <v>6700</v>
      </c>
      <c r="I30" s="19">
        <v>700</v>
      </c>
      <c r="J30" s="19">
        <v>900</v>
      </c>
      <c r="K30" s="19">
        <v>900</v>
      </c>
      <c r="L30" s="19">
        <v>20</v>
      </c>
      <c r="M30" s="19">
        <v>100</v>
      </c>
      <c r="N30" s="19">
        <v>1400</v>
      </c>
    </row>
    <row r="31" spans="1:14">
      <c r="A31" s="17"/>
      <c r="B31" s="27" t="s">
        <v>76</v>
      </c>
      <c r="C31" s="39">
        <f t="shared" ref="C31:N31" si="3">SUM(C10:C30)</f>
        <v>49521.07</v>
      </c>
      <c r="D31" s="39">
        <f t="shared" si="3"/>
        <v>53521.4</v>
      </c>
      <c r="E31" s="39">
        <f t="shared" si="3"/>
        <v>64589.07</v>
      </c>
      <c r="F31" s="39">
        <f t="shared" si="3"/>
        <v>122176.595</v>
      </c>
      <c r="G31" s="39">
        <f t="shared" si="3"/>
        <v>59987.135000000002</v>
      </c>
      <c r="H31" s="39">
        <f t="shared" si="3"/>
        <v>168686.98499999999</v>
      </c>
      <c r="I31" s="39">
        <f t="shared" si="3"/>
        <v>66089.179999999993</v>
      </c>
      <c r="J31" s="39">
        <f t="shared" si="3"/>
        <v>123572.55</v>
      </c>
      <c r="K31" s="39">
        <f t="shared" si="3"/>
        <v>97752.3</v>
      </c>
      <c r="L31" s="39">
        <f t="shared" si="3"/>
        <v>98344.065000000002</v>
      </c>
      <c r="M31" s="39">
        <f t="shared" si="3"/>
        <v>71051.839999999997</v>
      </c>
      <c r="N31" s="39">
        <f t="shared" si="3"/>
        <v>83462.84</v>
      </c>
    </row>
    <row r="32" spans="1:14">
      <c r="A32" s="17"/>
      <c r="B32" s="17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</row>
    <row r="33" spans="1:14">
      <c r="A33" s="17"/>
      <c r="B33" s="28" t="s">
        <v>39</v>
      </c>
      <c r="C33" s="40">
        <f t="shared" ref="C33:N33" si="4">C8-C31</f>
        <v>-7381.07</v>
      </c>
      <c r="D33" s="40">
        <f t="shared" si="4"/>
        <v>8778.5999999999985</v>
      </c>
      <c r="E33" s="40">
        <f t="shared" si="4"/>
        <v>75693.929999999993</v>
      </c>
      <c r="F33" s="40">
        <f t="shared" si="4"/>
        <v>65443.404999999999</v>
      </c>
      <c r="G33" s="40">
        <f t="shared" si="4"/>
        <v>132012.86499999999</v>
      </c>
      <c r="H33" s="40">
        <f t="shared" si="4"/>
        <v>140613.01500000001</v>
      </c>
      <c r="I33" s="40">
        <f t="shared" si="4"/>
        <v>910.82000000000698</v>
      </c>
      <c r="J33" s="40">
        <f t="shared" si="4"/>
        <v>87427.45</v>
      </c>
      <c r="K33" s="40">
        <f t="shared" si="4"/>
        <v>13658.699999999997</v>
      </c>
      <c r="L33" s="40">
        <f t="shared" si="4"/>
        <v>5545.9349999999977</v>
      </c>
      <c r="M33" s="40">
        <f t="shared" si="4"/>
        <v>78129.16</v>
      </c>
      <c r="N33" s="40">
        <f t="shared" si="4"/>
        <v>73867.16</v>
      </c>
    </row>
    <row r="34" spans="1:14">
      <c r="A34" s="17"/>
      <c r="B34" s="20" t="s">
        <v>106</v>
      </c>
      <c r="C34" s="19">
        <v>4500</v>
      </c>
      <c r="D34" s="19">
        <v>1200</v>
      </c>
      <c r="E34" s="19">
        <v>1290</v>
      </c>
      <c r="F34" s="19">
        <v>1200</v>
      </c>
      <c r="G34" s="19">
        <v>4500</v>
      </c>
      <c r="H34" s="19">
        <v>400</v>
      </c>
      <c r="I34" s="19">
        <v>1000</v>
      </c>
      <c r="J34" s="19">
        <v>5400</v>
      </c>
      <c r="K34" s="19">
        <v>1270</v>
      </c>
      <c r="L34" s="19">
        <v>1209</v>
      </c>
      <c r="M34" s="19">
        <v>2340</v>
      </c>
      <c r="N34" s="19">
        <v>4368</v>
      </c>
    </row>
    <row r="35" spans="1:14">
      <c r="A35" s="17"/>
      <c r="B35" s="20" t="s">
        <v>86</v>
      </c>
      <c r="C35" s="19">
        <v>3490</v>
      </c>
      <c r="D35" s="19">
        <v>1290</v>
      </c>
      <c r="E35" s="19">
        <v>3459</v>
      </c>
      <c r="F35" s="19">
        <v>200</v>
      </c>
      <c r="G35" s="19">
        <v>7800</v>
      </c>
      <c r="H35" s="19">
        <v>2300</v>
      </c>
      <c r="I35" s="19">
        <v>890</v>
      </c>
      <c r="J35" s="19">
        <v>650</v>
      </c>
      <c r="K35" s="19">
        <v>650</v>
      </c>
      <c r="L35" s="19">
        <v>657</v>
      </c>
      <c r="M35" s="19">
        <v>670</v>
      </c>
      <c r="N35" s="19">
        <v>890</v>
      </c>
    </row>
    <row r="36" spans="1:14">
      <c r="A36" s="17"/>
      <c r="B36" s="20" t="s">
        <v>84</v>
      </c>
      <c r="C36" s="19">
        <v>1290</v>
      </c>
      <c r="D36" s="19">
        <v>540</v>
      </c>
      <c r="E36" s="19">
        <v>870</v>
      </c>
      <c r="F36" s="19">
        <v>650</v>
      </c>
      <c r="G36" s="19">
        <v>5600</v>
      </c>
      <c r="H36" s="19">
        <v>800</v>
      </c>
      <c r="I36" s="19">
        <v>650</v>
      </c>
      <c r="J36" s="19">
        <v>600</v>
      </c>
      <c r="K36" s="19">
        <v>230</v>
      </c>
      <c r="L36" s="19">
        <v>540</v>
      </c>
      <c r="M36" s="19">
        <v>412</v>
      </c>
      <c r="N36" s="19">
        <v>231</v>
      </c>
    </row>
    <row r="37" spans="1:14">
      <c r="A37" s="17"/>
      <c r="B37" s="20" t="s">
        <v>124</v>
      </c>
      <c r="C37" s="19">
        <v>3490</v>
      </c>
      <c r="D37" s="19">
        <v>1000</v>
      </c>
      <c r="E37" s="19">
        <v>560</v>
      </c>
      <c r="F37" s="19">
        <v>340</v>
      </c>
      <c r="G37" s="19">
        <v>3490</v>
      </c>
      <c r="H37" s="19">
        <v>6700</v>
      </c>
      <c r="I37" s="19">
        <v>310</v>
      </c>
      <c r="J37" s="19">
        <v>200</v>
      </c>
      <c r="K37" s="19">
        <v>2130</v>
      </c>
      <c r="L37" s="19">
        <v>320</v>
      </c>
      <c r="M37" s="19">
        <v>1200</v>
      </c>
      <c r="N37" s="19">
        <v>4560</v>
      </c>
    </row>
    <row r="38" spans="1:14">
      <c r="A38" s="17"/>
      <c r="B38" s="20" t="s">
        <v>100</v>
      </c>
      <c r="C38" s="19">
        <v>23890</v>
      </c>
      <c r="D38" s="19">
        <v>2360</v>
      </c>
      <c r="E38" s="19">
        <v>4530</v>
      </c>
      <c r="F38" s="19">
        <v>6700</v>
      </c>
      <c r="G38" s="19">
        <v>34780</v>
      </c>
      <c r="H38" s="19">
        <v>700</v>
      </c>
      <c r="I38" s="19">
        <v>430</v>
      </c>
      <c r="J38" s="19">
        <v>1200</v>
      </c>
      <c r="K38" s="19">
        <v>1100</v>
      </c>
      <c r="L38" s="19">
        <v>1200</v>
      </c>
      <c r="M38" s="19">
        <v>1000</v>
      </c>
      <c r="N38" s="19">
        <v>2120</v>
      </c>
    </row>
    <row r="39" spans="1:14">
      <c r="A39" s="17"/>
      <c r="B39" s="20" t="s">
        <v>101</v>
      </c>
      <c r="C39" s="19">
        <f t="shared" ref="C39:N39" si="5">Payment</f>
        <v>3000.2657787347189</v>
      </c>
      <c r="D39" s="19">
        <f t="shared" si="5"/>
        <v>3000.2657787347189</v>
      </c>
      <c r="E39" s="19">
        <f t="shared" si="5"/>
        <v>3000.2657787347189</v>
      </c>
      <c r="F39" s="19">
        <f t="shared" si="5"/>
        <v>3000.2657787347189</v>
      </c>
      <c r="G39" s="19">
        <f t="shared" si="5"/>
        <v>3000.2657787347189</v>
      </c>
      <c r="H39" s="19">
        <f t="shared" si="5"/>
        <v>3000.2657787347189</v>
      </c>
      <c r="I39" s="19">
        <f t="shared" si="5"/>
        <v>3000.2657787347189</v>
      </c>
      <c r="J39" s="19">
        <f t="shared" si="5"/>
        <v>3000.2657787347189</v>
      </c>
      <c r="K39" s="19">
        <f t="shared" si="5"/>
        <v>3000.2657787347189</v>
      </c>
      <c r="L39" s="19">
        <v>230</v>
      </c>
      <c r="M39" s="19">
        <f t="shared" si="5"/>
        <v>3000.2657787347189</v>
      </c>
      <c r="N39" s="19">
        <f t="shared" si="5"/>
        <v>3000.2657787347189</v>
      </c>
    </row>
    <row r="40" spans="1:14">
      <c r="A40" s="17"/>
      <c r="B40" s="23" t="s">
        <v>102</v>
      </c>
      <c r="C40" s="41">
        <f>C33-C34-C35+C36+C37-C38-C39</f>
        <v>-37481.335778734719</v>
      </c>
      <c r="D40" s="41">
        <f t="shared" ref="D40:N40" si="6">D33-D34-D35+D36+D37-D38-D39</f>
        <v>2468.3342212652797</v>
      </c>
      <c r="E40" s="41">
        <f t="shared" si="6"/>
        <v>64844.664221265273</v>
      </c>
      <c r="F40" s="41">
        <f t="shared" si="6"/>
        <v>55333.139221265279</v>
      </c>
      <c r="G40" s="41">
        <f t="shared" si="6"/>
        <v>91022.599221265278</v>
      </c>
      <c r="H40" s="41">
        <f t="shared" si="6"/>
        <v>141712.74922126529</v>
      </c>
      <c r="I40" s="41">
        <f t="shared" si="6"/>
        <v>-3449.4457787347119</v>
      </c>
      <c r="J40" s="41">
        <f t="shared" si="6"/>
        <v>77977.184221265285</v>
      </c>
      <c r="K40" s="41">
        <f t="shared" si="6"/>
        <v>9998.4342212652773</v>
      </c>
      <c r="L40" s="41">
        <f t="shared" si="6"/>
        <v>3109.9349999999977</v>
      </c>
      <c r="M40" s="41">
        <f t="shared" si="6"/>
        <v>72730.894221265291</v>
      </c>
      <c r="N40" s="41">
        <f t="shared" si="6"/>
        <v>68279.894221265291</v>
      </c>
    </row>
    <row r="41" spans="1:14">
      <c r="A41" s="17"/>
      <c r="B41" s="17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</row>
    <row r="42" spans="1:14">
      <c r="A42" s="17"/>
      <c r="B42" s="25" t="s">
        <v>79</v>
      </c>
      <c r="C42" s="29" t="e">
        <f t="shared" ref="C42:N42" si="7">C4+C40</f>
        <v>#REF!</v>
      </c>
      <c r="D42" s="29" t="e">
        <f t="shared" si="7"/>
        <v>#REF!</v>
      </c>
      <c r="E42" s="29" t="e">
        <f t="shared" si="7"/>
        <v>#REF!</v>
      </c>
      <c r="F42" s="29" t="e">
        <f t="shared" si="7"/>
        <v>#REF!</v>
      </c>
      <c r="G42" s="29" t="e">
        <f t="shared" si="7"/>
        <v>#REF!</v>
      </c>
      <c r="H42" s="29" t="e">
        <f t="shared" si="7"/>
        <v>#REF!</v>
      </c>
      <c r="I42" s="29" t="e">
        <f t="shared" si="7"/>
        <v>#REF!</v>
      </c>
      <c r="J42" s="29" t="e">
        <f t="shared" si="7"/>
        <v>#REF!</v>
      </c>
      <c r="K42" s="29" t="e">
        <f t="shared" si="7"/>
        <v>#REF!</v>
      </c>
      <c r="L42" s="29" t="e">
        <f t="shared" si="7"/>
        <v>#REF!</v>
      </c>
      <c r="M42" s="29" t="e">
        <f t="shared" si="7"/>
        <v>#REF!</v>
      </c>
      <c r="N42" s="29" t="e">
        <f t="shared" si="7"/>
        <v>#REF!</v>
      </c>
    </row>
    <row r="44" spans="1:14">
      <c r="B44" s="72" t="s">
        <v>125</v>
      </c>
      <c r="C44" s="73">
        <f>C33/C6</f>
        <v>-0.1023159135015248</v>
      </c>
      <c r="D44" s="73">
        <f t="shared" ref="D44:N44" si="8">D33/D6</f>
        <v>0.13343365253077974</v>
      </c>
      <c r="E44" s="73">
        <f t="shared" si="8"/>
        <v>0.42503189398618674</v>
      </c>
      <c r="F44" s="73">
        <f t="shared" si="8"/>
        <v>0.28342747942832397</v>
      </c>
      <c r="G44" s="73">
        <f t="shared" si="8"/>
        <v>0.37924923152058371</v>
      </c>
      <c r="H44" s="73">
        <f t="shared" si="8"/>
        <v>0.25753299450549455</v>
      </c>
      <c r="I44" s="73">
        <f t="shared" si="8"/>
        <v>3.8923931623931923E-3</v>
      </c>
      <c r="J44" s="73">
        <f t="shared" si="8"/>
        <v>0.25334680807905186</v>
      </c>
      <c r="K44" s="73">
        <f t="shared" si="8"/>
        <v>5.7609768442363644E-2</v>
      </c>
      <c r="L44" s="73">
        <f t="shared" si="8"/>
        <v>1.6268987063275536E-2</v>
      </c>
      <c r="M44" s="73">
        <f t="shared" si="8"/>
        <v>0.23813331707763113</v>
      </c>
      <c r="N44" s="73">
        <f t="shared" si="8"/>
        <v>0.2122070728834497</v>
      </c>
    </row>
    <row r="45" spans="1:14">
      <c r="B45" s="72" t="s">
        <v>126</v>
      </c>
      <c r="C45" s="75">
        <f>C33/C39</f>
        <v>-2.460138715814959</v>
      </c>
      <c r="D45" s="75">
        <f t="shared" ref="D45:N45" si="9">D33/D39</f>
        <v>2.9259407823869976</v>
      </c>
      <c r="E45" s="75">
        <f t="shared" si="9"/>
        <v>25.229074882799839</v>
      </c>
      <c r="F45" s="75">
        <f t="shared" si="9"/>
        <v>21.812535897269406</v>
      </c>
      <c r="G45" s="75">
        <f t="shared" si="9"/>
        <v>44.000390210654224</v>
      </c>
      <c r="H45" s="75">
        <f t="shared" si="9"/>
        <v>46.866852929042757</v>
      </c>
      <c r="I45" s="75">
        <f t="shared" si="9"/>
        <v>0.3035797716508038</v>
      </c>
      <c r="J45" s="75">
        <f t="shared" si="9"/>
        <v>29.13990174459483</v>
      </c>
      <c r="K45" s="75">
        <f t="shared" si="9"/>
        <v>4.5524966810640972</v>
      </c>
      <c r="L45" s="75">
        <f t="shared" si="9"/>
        <v>24.112760869565207</v>
      </c>
      <c r="M45" s="75">
        <f t="shared" si="9"/>
        <v>26.040746307798393</v>
      </c>
      <c r="N45" s="75">
        <f t="shared" si="9"/>
        <v>24.620205490978698</v>
      </c>
    </row>
    <row r="48" spans="1:14">
      <c r="B48" s="164"/>
      <c r="C48" s="164"/>
      <c r="D48" s="165" t="s">
        <v>243</v>
      </c>
      <c r="E48" s="164"/>
      <c r="F48" s="164"/>
      <c r="G48" s="164"/>
      <c r="H48" s="164"/>
      <c r="I48" s="164"/>
    </row>
    <row r="49" spans="2:9">
      <c r="B49" s="164"/>
      <c r="C49" s="164"/>
      <c r="D49" s="164"/>
      <c r="E49" s="164"/>
      <c r="F49" s="164"/>
      <c r="G49" s="164"/>
      <c r="H49" s="164"/>
      <c r="I49" s="164"/>
    </row>
    <row r="50" spans="2:9">
      <c r="B50" s="164"/>
      <c r="C50" s="164" t="s">
        <v>244</v>
      </c>
      <c r="D50" s="164"/>
      <c r="E50" s="164"/>
      <c r="F50" s="164"/>
      <c r="G50" s="164"/>
      <c r="H50" s="164"/>
      <c r="I50" s="164"/>
    </row>
    <row r="51" spans="2:9">
      <c r="B51" s="164"/>
      <c r="C51" s="164" t="s">
        <v>245</v>
      </c>
      <c r="D51" s="164"/>
      <c r="E51" s="164"/>
      <c r="F51" s="164"/>
      <c r="G51" s="164"/>
      <c r="H51" s="164"/>
      <c r="I51" s="164"/>
    </row>
    <row r="52" spans="2:9">
      <c r="B52" s="164"/>
      <c r="C52" s="164" t="s">
        <v>246</v>
      </c>
      <c r="D52" s="164"/>
      <c r="E52" s="164"/>
      <c r="F52" s="164"/>
      <c r="G52" s="164"/>
      <c r="H52" s="164"/>
      <c r="I52" s="164"/>
    </row>
    <row r="53" spans="2:9">
      <c r="B53" s="164"/>
      <c r="C53" s="164"/>
      <c r="D53" s="164"/>
      <c r="E53" s="164"/>
      <c r="F53" s="164"/>
      <c r="G53" s="164"/>
      <c r="H53" s="164"/>
      <c r="I53" s="164"/>
    </row>
    <row r="54" spans="2:9">
      <c r="B54" s="164"/>
      <c r="C54" s="166" t="s">
        <v>250</v>
      </c>
      <c r="D54" s="166"/>
      <c r="E54" s="166"/>
      <c r="F54" s="166" t="s">
        <v>248</v>
      </c>
      <c r="G54" s="166"/>
      <c r="H54" s="164"/>
      <c r="I54" s="164"/>
    </row>
    <row r="55" spans="2:9">
      <c r="B55" s="164"/>
      <c r="C55" s="166"/>
      <c r="D55" s="166" t="s">
        <v>247</v>
      </c>
      <c r="E55" s="166"/>
      <c r="F55" s="166"/>
      <c r="G55" s="166"/>
      <c r="H55" s="164"/>
      <c r="I55" s="164"/>
    </row>
    <row r="56" spans="2:9">
      <c r="B56" s="164"/>
      <c r="C56" s="166"/>
      <c r="D56" s="166"/>
      <c r="E56" s="166"/>
      <c r="F56" s="166"/>
      <c r="G56" s="166"/>
      <c r="H56" s="164"/>
      <c r="I56" s="164"/>
    </row>
    <row r="57" spans="2:9">
      <c r="B57" s="164"/>
      <c r="C57" s="164"/>
      <c r="D57" s="164"/>
      <c r="E57" s="164"/>
      <c r="F57" s="164"/>
      <c r="G57" s="164"/>
      <c r="H57" s="164"/>
      <c r="I57" s="164"/>
    </row>
    <row r="58" spans="2:9">
      <c r="B58" s="164"/>
      <c r="C58" s="164"/>
      <c r="D58" s="167">
        <v>38496450</v>
      </c>
      <c r="E58" s="164" t="s">
        <v>249</v>
      </c>
      <c r="F58" s="164"/>
      <c r="G58" s="164"/>
      <c r="H58" s="164"/>
      <c r="I58" s="164"/>
    </row>
    <row r="59" spans="2:9">
      <c r="B59" s="164"/>
      <c r="C59" s="164"/>
      <c r="D59" s="168">
        <v>428091</v>
      </c>
      <c r="E59" s="164"/>
      <c r="F59" s="164"/>
      <c r="G59" s="164"/>
      <c r="H59" s="164"/>
      <c r="I59" s="164"/>
    </row>
    <row r="60" spans="2:9">
      <c r="B60" s="164"/>
      <c r="C60" s="164"/>
      <c r="D60" s="164"/>
      <c r="E60" s="164"/>
      <c r="F60" s="164"/>
      <c r="G60" s="164"/>
      <c r="H60" s="164"/>
      <c r="I60" s="164"/>
    </row>
    <row r="61" spans="2:9">
      <c r="B61" s="164"/>
      <c r="C61" s="164"/>
      <c r="D61" s="164"/>
      <c r="E61" s="164"/>
      <c r="F61" s="164"/>
      <c r="G61" s="164"/>
      <c r="H61" s="164"/>
      <c r="I61" s="164"/>
    </row>
    <row r="62" spans="2:9">
      <c r="B62" s="164"/>
      <c r="C62" s="164"/>
      <c r="D62" s="164"/>
      <c r="E62" s="164"/>
      <c r="F62" s="164"/>
      <c r="G62" s="164"/>
      <c r="H62" s="164"/>
      <c r="I62" s="164"/>
    </row>
    <row r="63" spans="2:9">
      <c r="B63" s="164"/>
      <c r="C63" s="164"/>
      <c r="D63" s="164" t="s">
        <v>251</v>
      </c>
      <c r="E63" s="164"/>
      <c r="F63" s="164"/>
      <c r="G63" s="164"/>
      <c r="H63" s="164"/>
      <c r="I63" s="164"/>
    </row>
    <row r="64" spans="2:9">
      <c r="B64" s="164"/>
      <c r="C64" s="164"/>
      <c r="D64" s="164"/>
      <c r="E64" s="164"/>
      <c r="F64" s="164"/>
      <c r="G64" s="164"/>
      <c r="H64" s="164"/>
      <c r="I64" s="164"/>
    </row>
    <row r="65" spans="2:9">
      <c r="B65" s="164"/>
      <c r="C65" s="164"/>
      <c r="D65" s="164"/>
      <c r="E65" s="164"/>
      <c r="F65" s="164"/>
      <c r="G65" s="164"/>
      <c r="H65" s="164"/>
      <c r="I65" s="164"/>
    </row>
  </sheetData>
  <mergeCells count="2">
    <mergeCell ref="A1:N1"/>
    <mergeCell ref="A2:N2"/>
  </mergeCells>
  <pageMargins left="0.7" right="0.7" top="0.75" bottom="0.75" header="0.3" footer="0.3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/>
    <pageSetUpPr fitToPage="1"/>
  </sheetPr>
  <dimension ref="A1:G134"/>
  <sheetViews>
    <sheetView topLeftCell="A3" zoomScale="218" zoomScaleNormal="218" workbookViewId="0">
      <selection activeCell="C10" sqref="C10"/>
    </sheetView>
  </sheetViews>
  <sheetFormatPr defaultColWidth="8.875" defaultRowHeight="11.25"/>
  <cols>
    <col min="1" max="1" width="5.125" style="46" customWidth="1"/>
    <col min="2" max="2" width="22.125" style="46" customWidth="1"/>
    <col min="3" max="6" width="18.375" style="46" customWidth="1"/>
    <col min="7" max="16384" width="8.875" style="46"/>
  </cols>
  <sheetData>
    <row r="1" spans="1:7" ht="11.25" hidden="1" customHeight="1">
      <c r="A1" s="153">
        <f>Transactions!A1</f>
        <v>0</v>
      </c>
      <c r="B1" s="154"/>
      <c r="C1" s="154"/>
      <c r="D1" s="154"/>
      <c r="E1" s="154"/>
      <c r="F1" s="155"/>
      <c r="G1" s="45"/>
    </row>
    <row r="2" spans="1:7" ht="12" hidden="1" thickBot="1">
      <c r="A2" s="156"/>
      <c r="B2" s="157"/>
      <c r="C2" s="157"/>
      <c r="D2" s="157"/>
      <c r="E2" s="157"/>
      <c r="F2" s="158"/>
      <c r="G2" s="45"/>
    </row>
    <row r="3" spans="1:7" ht="20.25" thickBot="1">
      <c r="A3" s="159" t="s">
        <v>108</v>
      </c>
      <c r="B3" s="160"/>
      <c r="C3" s="160"/>
      <c r="D3" s="160"/>
      <c r="E3" s="160"/>
      <c r="F3" s="161"/>
      <c r="G3" s="45"/>
    </row>
    <row r="4" spans="1:7" ht="15.75">
      <c r="A4" s="47"/>
      <c r="B4" s="48"/>
      <c r="C4" s="48"/>
      <c r="D4" s="48"/>
      <c r="E4" s="48"/>
      <c r="F4" s="49"/>
      <c r="G4" s="45"/>
    </row>
    <row r="5" spans="1:7" ht="15.75">
      <c r="A5" s="47"/>
      <c r="B5" s="50" t="s">
        <v>109</v>
      </c>
      <c r="C5" s="51">
        <v>250000</v>
      </c>
      <c r="D5" s="52"/>
      <c r="E5" s="53" t="s">
        <v>110</v>
      </c>
      <c r="F5" s="54">
        <f>Payment*Loan_Term*12-LoanAmount</f>
        <v>110031.89344816632</v>
      </c>
      <c r="G5" s="45"/>
    </row>
    <row r="6" spans="1:7" ht="15.75">
      <c r="A6" s="47"/>
      <c r="B6" s="50" t="s">
        <v>111</v>
      </c>
      <c r="C6" s="55">
        <v>0</v>
      </c>
      <c r="D6" s="52"/>
      <c r="E6" s="53"/>
      <c r="F6" s="54"/>
      <c r="G6" s="45"/>
    </row>
    <row r="7" spans="1:7" ht="15.75">
      <c r="A7" s="47"/>
      <c r="B7" s="50" t="s">
        <v>112</v>
      </c>
      <c r="C7" s="51">
        <f>Loan_Amount*C6</f>
        <v>0</v>
      </c>
      <c r="D7" s="52"/>
      <c r="E7" s="53"/>
      <c r="F7" s="54"/>
      <c r="G7" s="45"/>
    </row>
    <row r="8" spans="1:7" ht="15.75">
      <c r="A8" s="47"/>
      <c r="B8" s="50" t="s">
        <v>113</v>
      </c>
      <c r="C8" s="51">
        <f>Loan_Amount-C7</f>
        <v>250000</v>
      </c>
      <c r="D8" s="52"/>
      <c r="E8" s="53"/>
      <c r="F8" s="54"/>
      <c r="G8" s="45"/>
    </row>
    <row r="9" spans="1:7" ht="15.75">
      <c r="A9" s="47"/>
      <c r="B9" s="56" t="s">
        <v>114</v>
      </c>
      <c r="C9" s="57">
        <v>10</v>
      </c>
      <c r="D9" s="58"/>
      <c r="E9" s="53" t="s">
        <v>115</v>
      </c>
      <c r="F9" s="54">
        <f>Payment*Loan_Term*12-Total_Interest</f>
        <v>250000</v>
      </c>
      <c r="G9" s="45"/>
    </row>
    <row r="10" spans="1:7" ht="15.75">
      <c r="A10" s="47"/>
      <c r="B10" s="56" t="s">
        <v>116</v>
      </c>
      <c r="C10" s="55">
        <v>7.7499999999999999E-2</v>
      </c>
      <c r="D10" s="58"/>
      <c r="E10" s="53" t="s">
        <v>117</v>
      </c>
      <c r="F10" s="54">
        <f>Total_Interest+Total_Principal</f>
        <v>360031.89344816632</v>
      </c>
      <c r="G10" s="45"/>
    </row>
    <row r="11" spans="1:7" ht="15.75">
      <c r="A11" s="47"/>
      <c r="B11" s="56" t="s">
        <v>118</v>
      </c>
      <c r="C11" s="59">
        <f>PMT(Rate/12,Loan_Term*12,-LoanAmount)</f>
        <v>3000.2657787347189</v>
      </c>
      <c r="D11" s="52"/>
      <c r="E11" s="60"/>
      <c r="F11" s="54"/>
      <c r="G11" s="45"/>
    </row>
    <row r="12" spans="1:7" ht="16.5" thickBot="1">
      <c r="A12" s="61"/>
      <c r="B12" s="62"/>
      <c r="C12" s="63"/>
      <c r="D12" s="64"/>
      <c r="E12" s="65"/>
      <c r="F12" s="66"/>
      <c r="G12" s="45"/>
    </row>
    <row r="14" spans="1:7" ht="30">
      <c r="A14" s="67" t="s">
        <v>119</v>
      </c>
      <c r="B14" s="68" t="s">
        <v>120</v>
      </c>
      <c r="C14" s="67" t="s">
        <v>23</v>
      </c>
      <c r="D14" s="67" t="s">
        <v>121</v>
      </c>
      <c r="E14" s="67" t="s">
        <v>122</v>
      </c>
      <c r="F14" s="68" t="s">
        <v>123</v>
      </c>
    </row>
    <row r="15" spans="1:7" ht="15.75">
      <c r="A15" s="70">
        <v>1</v>
      </c>
      <c r="B15" s="69">
        <f>Total_Cost</f>
        <v>360031.89344816632</v>
      </c>
      <c r="C15" s="69">
        <f t="shared" ref="C15:C46" si="0">B15*(Rate/12)</f>
        <v>2325.2059785194074</v>
      </c>
      <c r="D15" s="71">
        <f t="shared" ref="D15:D46" si="1">Payment-C15</f>
        <v>675.0598002153115</v>
      </c>
      <c r="E15" s="71">
        <f>C15+D15</f>
        <v>3000.2657787347189</v>
      </c>
      <c r="F15" s="71">
        <f>B15-E15</f>
        <v>357031.62766943162</v>
      </c>
    </row>
    <row r="16" spans="1:7" ht="15.75">
      <c r="A16" s="70">
        <v>2</v>
      </c>
      <c r="B16" s="71">
        <f>F15</f>
        <v>357031.62766943162</v>
      </c>
      <c r="C16" s="69">
        <f t="shared" si="0"/>
        <v>2305.8292620317457</v>
      </c>
      <c r="D16" s="71">
        <f t="shared" si="1"/>
        <v>694.43651670297322</v>
      </c>
      <c r="E16" s="71">
        <f t="shared" ref="E16:E79" si="2">C16+D16</f>
        <v>3000.2657787347189</v>
      </c>
      <c r="F16" s="71">
        <f t="shared" ref="F16:F79" si="3">B16-E16</f>
        <v>354031.36189069692</v>
      </c>
    </row>
    <row r="17" spans="1:6" ht="15.75">
      <c r="A17" s="70">
        <v>3</v>
      </c>
      <c r="B17" s="71">
        <f t="shared" ref="B17:B80" si="4">F16</f>
        <v>354031.36189069692</v>
      </c>
      <c r="C17" s="69">
        <f t="shared" si="0"/>
        <v>2286.4525455440844</v>
      </c>
      <c r="D17" s="71">
        <f t="shared" si="1"/>
        <v>713.81323319063449</v>
      </c>
      <c r="E17" s="71">
        <f t="shared" si="2"/>
        <v>3000.2657787347189</v>
      </c>
      <c r="F17" s="71">
        <f t="shared" si="3"/>
        <v>351031.09611196222</v>
      </c>
    </row>
    <row r="18" spans="1:6" ht="15.75">
      <c r="A18" s="70">
        <v>4</v>
      </c>
      <c r="B18" s="71">
        <f t="shared" si="4"/>
        <v>351031.09611196222</v>
      </c>
      <c r="C18" s="69">
        <f t="shared" si="0"/>
        <v>2267.0758290564227</v>
      </c>
      <c r="D18" s="71">
        <f t="shared" si="1"/>
        <v>733.18994967829622</v>
      </c>
      <c r="E18" s="71">
        <f t="shared" si="2"/>
        <v>3000.2657787347189</v>
      </c>
      <c r="F18" s="71">
        <f t="shared" si="3"/>
        <v>348030.83033322752</v>
      </c>
    </row>
    <row r="19" spans="1:6" ht="15.75">
      <c r="A19" s="70">
        <v>5</v>
      </c>
      <c r="B19" s="71">
        <f t="shared" si="4"/>
        <v>348030.83033322752</v>
      </c>
      <c r="C19" s="69">
        <f t="shared" si="0"/>
        <v>2247.6991125687609</v>
      </c>
      <c r="D19" s="71">
        <f t="shared" si="1"/>
        <v>752.56666616595794</v>
      </c>
      <c r="E19" s="71">
        <f t="shared" si="2"/>
        <v>3000.2657787347189</v>
      </c>
      <c r="F19" s="71">
        <f t="shared" si="3"/>
        <v>345030.56455449283</v>
      </c>
    </row>
    <row r="20" spans="1:6" ht="15.75">
      <c r="A20" s="70">
        <v>6</v>
      </c>
      <c r="B20" s="71">
        <f t="shared" si="4"/>
        <v>345030.56455449283</v>
      </c>
      <c r="C20" s="69">
        <f t="shared" si="0"/>
        <v>2228.3223960810997</v>
      </c>
      <c r="D20" s="71">
        <f t="shared" si="1"/>
        <v>771.94338265361921</v>
      </c>
      <c r="E20" s="71">
        <f t="shared" si="2"/>
        <v>3000.2657787347189</v>
      </c>
      <c r="F20" s="71">
        <f t="shared" si="3"/>
        <v>342030.29877575813</v>
      </c>
    </row>
    <row r="21" spans="1:6" ht="15.75">
      <c r="A21" s="70">
        <v>7</v>
      </c>
      <c r="B21" s="71">
        <f t="shared" si="4"/>
        <v>342030.29877575813</v>
      </c>
      <c r="C21" s="69">
        <f t="shared" si="0"/>
        <v>2208.9456795934379</v>
      </c>
      <c r="D21" s="71">
        <f t="shared" si="1"/>
        <v>791.32009914128093</v>
      </c>
      <c r="E21" s="71">
        <f t="shared" si="2"/>
        <v>3000.2657787347189</v>
      </c>
      <c r="F21" s="71">
        <f t="shared" si="3"/>
        <v>339030.03299702343</v>
      </c>
    </row>
    <row r="22" spans="1:6" ht="15.75">
      <c r="A22" s="70">
        <v>8</v>
      </c>
      <c r="B22" s="71">
        <f t="shared" si="4"/>
        <v>339030.03299702343</v>
      </c>
      <c r="C22" s="69">
        <f t="shared" si="0"/>
        <v>2189.5689631057762</v>
      </c>
      <c r="D22" s="71">
        <f t="shared" si="1"/>
        <v>810.69681562894266</v>
      </c>
      <c r="E22" s="71">
        <f t="shared" si="2"/>
        <v>3000.2657787347189</v>
      </c>
      <c r="F22" s="71">
        <f t="shared" si="3"/>
        <v>336029.76721828873</v>
      </c>
    </row>
    <row r="23" spans="1:6" ht="15.75">
      <c r="A23" s="70">
        <v>9</v>
      </c>
      <c r="B23" s="71">
        <f t="shared" si="4"/>
        <v>336029.76721828873</v>
      </c>
      <c r="C23" s="69">
        <f t="shared" si="0"/>
        <v>2170.1922466181145</v>
      </c>
      <c r="D23" s="71">
        <f t="shared" si="1"/>
        <v>830.07353211660438</v>
      </c>
      <c r="E23" s="71">
        <f t="shared" si="2"/>
        <v>3000.2657787347189</v>
      </c>
      <c r="F23" s="71">
        <f t="shared" si="3"/>
        <v>333029.50143955403</v>
      </c>
    </row>
    <row r="24" spans="1:6" ht="15.75">
      <c r="A24" s="70">
        <v>10</v>
      </c>
      <c r="B24" s="71">
        <f t="shared" si="4"/>
        <v>333029.50143955403</v>
      </c>
      <c r="C24" s="69">
        <f t="shared" si="0"/>
        <v>2150.8155301304532</v>
      </c>
      <c r="D24" s="71">
        <f t="shared" si="1"/>
        <v>849.45024860426565</v>
      </c>
      <c r="E24" s="71">
        <f t="shared" si="2"/>
        <v>3000.2657787347189</v>
      </c>
      <c r="F24" s="71">
        <f t="shared" si="3"/>
        <v>330029.23566081934</v>
      </c>
    </row>
    <row r="25" spans="1:6" ht="15.75">
      <c r="A25" s="70">
        <v>11</v>
      </c>
      <c r="B25" s="71">
        <f t="shared" si="4"/>
        <v>330029.23566081934</v>
      </c>
      <c r="C25" s="69">
        <f t="shared" si="0"/>
        <v>2131.4388136427915</v>
      </c>
      <c r="D25" s="71">
        <f t="shared" si="1"/>
        <v>868.82696509192738</v>
      </c>
      <c r="E25" s="71">
        <f t="shared" si="2"/>
        <v>3000.2657787347189</v>
      </c>
      <c r="F25" s="71">
        <f t="shared" si="3"/>
        <v>327028.96988208464</v>
      </c>
    </row>
    <row r="26" spans="1:6" ht="15.75">
      <c r="A26" s="70">
        <v>12</v>
      </c>
      <c r="B26" s="71">
        <f t="shared" si="4"/>
        <v>327028.96988208464</v>
      </c>
      <c r="C26" s="69">
        <f t="shared" si="0"/>
        <v>2112.0620971551298</v>
      </c>
      <c r="D26" s="71">
        <f t="shared" si="1"/>
        <v>888.2036815795891</v>
      </c>
      <c r="E26" s="71">
        <f t="shared" si="2"/>
        <v>3000.2657787347189</v>
      </c>
      <c r="F26" s="71">
        <f t="shared" si="3"/>
        <v>324028.70410334994</v>
      </c>
    </row>
    <row r="27" spans="1:6" ht="15.75">
      <c r="A27" s="70">
        <v>13</v>
      </c>
      <c r="B27" s="71">
        <f t="shared" si="4"/>
        <v>324028.70410334994</v>
      </c>
      <c r="C27" s="69">
        <f t="shared" si="0"/>
        <v>2092.6853806674685</v>
      </c>
      <c r="D27" s="71">
        <f t="shared" si="1"/>
        <v>907.58039806725037</v>
      </c>
      <c r="E27" s="71">
        <f t="shared" si="2"/>
        <v>3000.2657787347189</v>
      </c>
      <c r="F27" s="71">
        <f t="shared" si="3"/>
        <v>321028.43832461524</v>
      </c>
    </row>
    <row r="28" spans="1:6" ht="15.75">
      <c r="A28" s="70">
        <v>14</v>
      </c>
      <c r="B28" s="71">
        <f t="shared" si="4"/>
        <v>321028.43832461524</v>
      </c>
      <c r="C28" s="69">
        <f t="shared" si="0"/>
        <v>2073.3086641798068</v>
      </c>
      <c r="D28" s="71">
        <f t="shared" si="1"/>
        <v>926.9571145549121</v>
      </c>
      <c r="E28" s="71">
        <f t="shared" si="2"/>
        <v>3000.2657787347189</v>
      </c>
      <c r="F28" s="71">
        <f t="shared" si="3"/>
        <v>318028.17254588054</v>
      </c>
    </row>
    <row r="29" spans="1:6" ht="15.75">
      <c r="A29" s="70">
        <v>15</v>
      </c>
      <c r="B29" s="71">
        <f t="shared" si="4"/>
        <v>318028.17254588054</v>
      </c>
      <c r="C29" s="69">
        <f t="shared" si="0"/>
        <v>2053.9319476921451</v>
      </c>
      <c r="D29" s="71">
        <f t="shared" si="1"/>
        <v>946.33383104257382</v>
      </c>
      <c r="E29" s="71">
        <f t="shared" si="2"/>
        <v>3000.2657787347189</v>
      </c>
      <c r="F29" s="71">
        <f t="shared" si="3"/>
        <v>315027.90676714585</v>
      </c>
    </row>
    <row r="30" spans="1:6" ht="15.75">
      <c r="A30" s="70">
        <v>16</v>
      </c>
      <c r="B30" s="71">
        <f t="shared" si="4"/>
        <v>315027.90676714585</v>
      </c>
      <c r="C30" s="69">
        <f t="shared" si="0"/>
        <v>2034.5552312044836</v>
      </c>
      <c r="D30" s="71">
        <f t="shared" si="1"/>
        <v>965.71054753023532</v>
      </c>
      <c r="E30" s="71">
        <f t="shared" si="2"/>
        <v>3000.2657787347189</v>
      </c>
      <c r="F30" s="71">
        <f t="shared" si="3"/>
        <v>312027.64098841115</v>
      </c>
    </row>
    <row r="31" spans="1:6" ht="15.75">
      <c r="A31" s="70">
        <v>17</v>
      </c>
      <c r="B31" s="71">
        <f t="shared" si="4"/>
        <v>312027.64098841115</v>
      </c>
      <c r="C31" s="69">
        <f t="shared" si="0"/>
        <v>2015.1785147168221</v>
      </c>
      <c r="D31" s="71">
        <f t="shared" si="1"/>
        <v>985.08726401789681</v>
      </c>
      <c r="E31" s="71">
        <f t="shared" si="2"/>
        <v>3000.2657787347189</v>
      </c>
      <c r="F31" s="71">
        <f t="shared" si="3"/>
        <v>309027.37520967645</v>
      </c>
    </row>
    <row r="32" spans="1:6" ht="15.75">
      <c r="A32" s="70">
        <v>18</v>
      </c>
      <c r="B32" s="71">
        <f t="shared" si="4"/>
        <v>309027.37520967645</v>
      </c>
      <c r="C32" s="69">
        <f t="shared" si="0"/>
        <v>1995.8017982291603</v>
      </c>
      <c r="D32" s="71">
        <f t="shared" si="1"/>
        <v>1004.4639805055585</v>
      </c>
      <c r="E32" s="71">
        <f t="shared" si="2"/>
        <v>3000.2657787347189</v>
      </c>
      <c r="F32" s="71">
        <f t="shared" si="3"/>
        <v>306027.10943094175</v>
      </c>
    </row>
    <row r="33" spans="1:6" ht="15.75">
      <c r="A33" s="70">
        <v>19</v>
      </c>
      <c r="B33" s="71">
        <f t="shared" si="4"/>
        <v>306027.10943094175</v>
      </c>
      <c r="C33" s="69">
        <f t="shared" si="0"/>
        <v>1976.4250817414988</v>
      </c>
      <c r="D33" s="71">
        <f t="shared" si="1"/>
        <v>1023.84069699322</v>
      </c>
      <c r="E33" s="71">
        <f t="shared" si="2"/>
        <v>3000.2657787347189</v>
      </c>
      <c r="F33" s="71">
        <f t="shared" si="3"/>
        <v>303026.84365220706</v>
      </c>
    </row>
    <row r="34" spans="1:6" ht="15.75">
      <c r="A34" s="70">
        <v>20</v>
      </c>
      <c r="B34" s="71">
        <f t="shared" si="4"/>
        <v>303026.84365220706</v>
      </c>
      <c r="C34" s="69">
        <f t="shared" si="0"/>
        <v>1957.0483652538371</v>
      </c>
      <c r="D34" s="71">
        <f t="shared" si="1"/>
        <v>1043.2174134808818</v>
      </c>
      <c r="E34" s="71">
        <f t="shared" si="2"/>
        <v>3000.2657787347189</v>
      </c>
      <c r="F34" s="71">
        <f t="shared" si="3"/>
        <v>300026.57787347236</v>
      </c>
    </row>
    <row r="35" spans="1:6" ht="15.75">
      <c r="A35" s="70">
        <v>21</v>
      </c>
      <c r="B35" s="71">
        <f t="shared" si="4"/>
        <v>300026.57787347236</v>
      </c>
      <c r="C35" s="69">
        <f t="shared" si="0"/>
        <v>1937.6716487661756</v>
      </c>
      <c r="D35" s="71">
        <f t="shared" si="1"/>
        <v>1062.5941299685433</v>
      </c>
      <c r="E35" s="71">
        <f t="shared" si="2"/>
        <v>3000.2657787347189</v>
      </c>
      <c r="F35" s="71">
        <f t="shared" si="3"/>
        <v>297026.31209473766</v>
      </c>
    </row>
    <row r="36" spans="1:6" ht="15.75">
      <c r="A36" s="70">
        <v>22</v>
      </c>
      <c r="B36" s="71">
        <f t="shared" si="4"/>
        <v>297026.31209473766</v>
      </c>
      <c r="C36" s="69">
        <f t="shared" si="0"/>
        <v>1918.2949322785141</v>
      </c>
      <c r="D36" s="71">
        <f t="shared" si="1"/>
        <v>1081.9708464562048</v>
      </c>
      <c r="E36" s="71">
        <f t="shared" si="2"/>
        <v>3000.2657787347189</v>
      </c>
      <c r="F36" s="71">
        <f t="shared" si="3"/>
        <v>294026.04631600296</v>
      </c>
    </row>
    <row r="37" spans="1:6" ht="15.75">
      <c r="A37" s="70">
        <v>23</v>
      </c>
      <c r="B37" s="71">
        <f t="shared" si="4"/>
        <v>294026.04631600296</v>
      </c>
      <c r="C37" s="69">
        <f t="shared" si="0"/>
        <v>1898.9182157908524</v>
      </c>
      <c r="D37" s="71">
        <f t="shared" si="1"/>
        <v>1101.3475629438665</v>
      </c>
      <c r="E37" s="71">
        <f t="shared" si="2"/>
        <v>3000.2657787347189</v>
      </c>
      <c r="F37" s="71">
        <f t="shared" si="3"/>
        <v>291025.78053726826</v>
      </c>
    </row>
    <row r="38" spans="1:6" ht="15.75">
      <c r="A38" s="70">
        <v>24</v>
      </c>
      <c r="B38" s="71">
        <f t="shared" si="4"/>
        <v>291025.78053726826</v>
      </c>
      <c r="C38" s="69">
        <f t="shared" si="0"/>
        <v>1879.5414993031909</v>
      </c>
      <c r="D38" s="71">
        <f t="shared" si="1"/>
        <v>1120.724279431528</v>
      </c>
      <c r="E38" s="71">
        <f t="shared" si="2"/>
        <v>3000.2657787347189</v>
      </c>
      <c r="F38" s="71">
        <f t="shared" si="3"/>
        <v>288025.51475853357</v>
      </c>
    </row>
    <row r="39" spans="1:6" ht="15.75">
      <c r="A39" s="70">
        <v>25</v>
      </c>
      <c r="B39" s="71">
        <f t="shared" si="4"/>
        <v>288025.51475853357</v>
      </c>
      <c r="C39" s="69">
        <f t="shared" si="0"/>
        <v>1860.1647828155292</v>
      </c>
      <c r="D39" s="71">
        <f t="shared" si="1"/>
        <v>1140.1009959191897</v>
      </c>
      <c r="E39" s="71">
        <f t="shared" si="2"/>
        <v>3000.2657787347189</v>
      </c>
      <c r="F39" s="71">
        <f t="shared" si="3"/>
        <v>285025.24897979887</v>
      </c>
    </row>
    <row r="40" spans="1:6" ht="15.75">
      <c r="A40" s="70">
        <v>26</v>
      </c>
      <c r="B40" s="71">
        <f t="shared" si="4"/>
        <v>285025.24897979887</v>
      </c>
      <c r="C40" s="69">
        <f t="shared" si="0"/>
        <v>1840.7880663278677</v>
      </c>
      <c r="D40" s="71">
        <f t="shared" si="1"/>
        <v>1159.4777124068512</v>
      </c>
      <c r="E40" s="71">
        <f t="shared" si="2"/>
        <v>3000.2657787347189</v>
      </c>
      <c r="F40" s="71">
        <f t="shared" si="3"/>
        <v>282024.98320106417</v>
      </c>
    </row>
    <row r="41" spans="1:6" ht="15.75">
      <c r="A41" s="70">
        <v>27</v>
      </c>
      <c r="B41" s="71">
        <f t="shared" si="4"/>
        <v>282024.98320106417</v>
      </c>
      <c r="C41" s="69">
        <f t="shared" si="0"/>
        <v>1821.4113498402062</v>
      </c>
      <c r="D41" s="71">
        <f t="shared" si="1"/>
        <v>1178.8544288945127</v>
      </c>
      <c r="E41" s="71">
        <f t="shared" si="2"/>
        <v>3000.2657787347189</v>
      </c>
      <c r="F41" s="71">
        <f t="shared" si="3"/>
        <v>279024.71742232947</v>
      </c>
    </row>
    <row r="42" spans="1:6" ht="15.75">
      <c r="A42" s="70">
        <v>28</v>
      </c>
      <c r="B42" s="71">
        <f t="shared" si="4"/>
        <v>279024.71742232947</v>
      </c>
      <c r="C42" s="69">
        <f t="shared" si="0"/>
        <v>1802.0346333525445</v>
      </c>
      <c r="D42" s="71">
        <f t="shared" si="1"/>
        <v>1198.2311453821744</v>
      </c>
      <c r="E42" s="71">
        <f t="shared" si="2"/>
        <v>3000.2657787347189</v>
      </c>
      <c r="F42" s="71">
        <f t="shared" si="3"/>
        <v>276024.45164359477</v>
      </c>
    </row>
    <row r="43" spans="1:6" ht="15.75">
      <c r="A43" s="70">
        <v>29</v>
      </c>
      <c r="B43" s="71">
        <f t="shared" si="4"/>
        <v>276024.45164359477</v>
      </c>
      <c r="C43" s="69">
        <f t="shared" si="0"/>
        <v>1782.657916864883</v>
      </c>
      <c r="D43" s="71">
        <f t="shared" si="1"/>
        <v>1217.6078618698359</v>
      </c>
      <c r="E43" s="71">
        <f t="shared" si="2"/>
        <v>3000.2657787347189</v>
      </c>
      <c r="F43" s="71">
        <f t="shared" si="3"/>
        <v>273024.18586486008</v>
      </c>
    </row>
    <row r="44" spans="1:6" ht="15.75">
      <c r="A44" s="70">
        <v>30</v>
      </c>
      <c r="B44" s="71">
        <f t="shared" si="4"/>
        <v>273024.18586486008</v>
      </c>
      <c r="C44" s="69">
        <f t="shared" si="0"/>
        <v>1763.2812003772212</v>
      </c>
      <c r="D44" s="71">
        <f t="shared" si="1"/>
        <v>1236.9845783574976</v>
      </c>
      <c r="E44" s="71">
        <f t="shared" si="2"/>
        <v>3000.2657787347189</v>
      </c>
      <c r="F44" s="71">
        <f t="shared" si="3"/>
        <v>270023.92008612538</v>
      </c>
    </row>
    <row r="45" spans="1:6" ht="15.75">
      <c r="A45" s="70">
        <v>31</v>
      </c>
      <c r="B45" s="71">
        <f t="shared" si="4"/>
        <v>270023.92008612538</v>
      </c>
      <c r="C45" s="69">
        <f t="shared" si="0"/>
        <v>1743.9044838895597</v>
      </c>
      <c r="D45" s="71">
        <f t="shared" si="1"/>
        <v>1256.3612948451591</v>
      </c>
      <c r="E45" s="71">
        <f t="shared" si="2"/>
        <v>3000.2657787347189</v>
      </c>
      <c r="F45" s="71">
        <f t="shared" si="3"/>
        <v>267023.65430739068</v>
      </c>
    </row>
    <row r="46" spans="1:6" ht="15.75">
      <c r="A46" s="70">
        <v>32</v>
      </c>
      <c r="B46" s="71">
        <f t="shared" si="4"/>
        <v>267023.65430739068</v>
      </c>
      <c r="C46" s="69">
        <f t="shared" si="0"/>
        <v>1724.527767401898</v>
      </c>
      <c r="D46" s="71">
        <f t="shared" si="1"/>
        <v>1275.7380113328209</v>
      </c>
      <c r="E46" s="71">
        <f t="shared" si="2"/>
        <v>3000.2657787347189</v>
      </c>
      <c r="F46" s="71">
        <f t="shared" si="3"/>
        <v>264023.38852865598</v>
      </c>
    </row>
    <row r="47" spans="1:6" ht="15.75">
      <c r="A47" s="70">
        <v>33</v>
      </c>
      <c r="B47" s="71">
        <f t="shared" si="4"/>
        <v>264023.38852865598</v>
      </c>
      <c r="C47" s="69">
        <f t="shared" ref="C47:C110" si="5">B47*(Rate/12)</f>
        <v>1705.1510509142365</v>
      </c>
      <c r="D47" s="71">
        <f t="shared" ref="D47:D110" si="6">Payment-C47</f>
        <v>1295.1147278204824</v>
      </c>
      <c r="E47" s="71">
        <f t="shared" si="2"/>
        <v>3000.2657787347189</v>
      </c>
      <c r="F47" s="71">
        <f t="shared" si="3"/>
        <v>261023.12274992125</v>
      </c>
    </row>
    <row r="48" spans="1:6" ht="15.75">
      <c r="A48" s="70">
        <v>34</v>
      </c>
      <c r="B48" s="71">
        <f t="shared" si="4"/>
        <v>261023.12274992125</v>
      </c>
      <c r="C48" s="69">
        <f t="shared" si="5"/>
        <v>1685.7743344265748</v>
      </c>
      <c r="D48" s="71">
        <f t="shared" si="6"/>
        <v>1314.4914443081441</v>
      </c>
      <c r="E48" s="71">
        <f t="shared" si="2"/>
        <v>3000.2657787347189</v>
      </c>
      <c r="F48" s="71">
        <f t="shared" si="3"/>
        <v>258022.85697118653</v>
      </c>
    </row>
    <row r="49" spans="1:6" ht="15.75">
      <c r="A49" s="70">
        <v>35</v>
      </c>
      <c r="B49" s="71">
        <f t="shared" si="4"/>
        <v>258022.85697118653</v>
      </c>
      <c r="C49" s="69">
        <f t="shared" si="5"/>
        <v>1666.3976179389131</v>
      </c>
      <c r="D49" s="71">
        <f t="shared" si="6"/>
        <v>1333.8681607958058</v>
      </c>
      <c r="E49" s="71">
        <f t="shared" si="2"/>
        <v>3000.2657787347189</v>
      </c>
      <c r="F49" s="71">
        <f t="shared" si="3"/>
        <v>255022.5911924518</v>
      </c>
    </row>
    <row r="50" spans="1:6" ht="15.75">
      <c r="A50" s="70">
        <v>36</v>
      </c>
      <c r="B50" s="71">
        <f t="shared" si="4"/>
        <v>255022.5911924518</v>
      </c>
      <c r="C50" s="69">
        <f t="shared" si="5"/>
        <v>1647.0209014512511</v>
      </c>
      <c r="D50" s="71">
        <f t="shared" si="6"/>
        <v>1353.2448772834678</v>
      </c>
      <c r="E50" s="71">
        <f t="shared" si="2"/>
        <v>3000.2657787347189</v>
      </c>
      <c r="F50" s="71">
        <f t="shared" si="3"/>
        <v>252022.32541371707</v>
      </c>
    </row>
    <row r="51" spans="1:6" ht="15.75">
      <c r="A51" s="70">
        <v>37</v>
      </c>
      <c r="B51" s="71">
        <f t="shared" si="4"/>
        <v>252022.32541371707</v>
      </c>
      <c r="C51" s="69">
        <f t="shared" si="5"/>
        <v>1627.6441849635894</v>
      </c>
      <c r="D51" s="71">
        <f t="shared" si="6"/>
        <v>1372.6215937711295</v>
      </c>
      <c r="E51" s="71">
        <f t="shared" si="2"/>
        <v>3000.2657787347189</v>
      </c>
      <c r="F51" s="71">
        <f t="shared" si="3"/>
        <v>249022.05963498235</v>
      </c>
    </row>
    <row r="52" spans="1:6" ht="15.75">
      <c r="A52" s="70">
        <v>38</v>
      </c>
      <c r="B52" s="71">
        <f t="shared" si="4"/>
        <v>249022.05963498235</v>
      </c>
      <c r="C52" s="69">
        <f t="shared" si="5"/>
        <v>1608.2674684759277</v>
      </c>
      <c r="D52" s="71">
        <f t="shared" si="6"/>
        <v>1391.9983102587912</v>
      </c>
      <c r="E52" s="71">
        <f t="shared" si="2"/>
        <v>3000.2657787347189</v>
      </c>
      <c r="F52" s="71">
        <f t="shared" si="3"/>
        <v>246021.79385624762</v>
      </c>
    </row>
    <row r="53" spans="1:6" ht="15.75">
      <c r="A53" s="70">
        <v>39</v>
      </c>
      <c r="B53" s="71">
        <f t="shared" si="4"/>
        <v>246021.79385624762</v>
      </c>
      <c r="C53" s="69">
        <f t="shared" si="5"/>
        <v>1588.8907519882659</v>
      </c>
      <c r="D53" s="71">
        <f t="shared" si="6"/>
        <v>1411.3750267464529</v>
      </c>
      <c r="E53" s="71">
        <f t="shared" si="2"/>
        <v>3000.2657787347189</v>
      </c>
      <c r="F53" s="71">
        <f t="shared" si="3"/>
        <v>243021.52807751289</v>
      </c>
    </row>
    <row r="54" spans="1:6" ht="15.75">
      <c r="A54" s="70">
        <v>40</v>
      </c>
      <c r="B54" s="71">
        <f t="shared" si="4"/>
        <v>243021.52807751289</v>
      </c>
      <c r="C54" s="69">
        <f t="shared" si="5"/>
        <v>1569.514035500604</v>
      </c>
      <c r="D54" s="71">
        <f t="shared" si="6"/>
        <v>1430.7517432341149</v>
      </c>
      <c r="E54" s="71">
        <f t="shared" si="2"/>
        <v>3000.2657787347189</v>
      </c>
      <c r="F54" s="71">
        <f t="shared" si="3"/>
        <v>240021.26229877817</v>
      </c>
    </row>
    <row r="55" spans="1:6" ht="15.75">
      <c r="A55" s="70">
        <v>41</v>
      </c>
      <c r="B55" s="71">
        <f t="shared" si="4"/>
        <v>240021.26229877817</v>
      </c>
      <c r="C55" s="69">
        <f t="shared" si="5"/>
        <v>1550.1373190129423</v>
      </c>
      <c r="D55" s="71">
        <f t="shared" si="6"/>
        <v>1450.1284597217766</v>
      </c>
      <c r="E55" s="71">
        <f t="shared" si="2"/>
        <v>3000.2657787347189</v>
      </c>
      <c r="F55" s="71">
        <f t="shared" si="3"/>
        <v>237020.99652004344</v>
      </c>
    </row>
    <row r="56" spans="1:6" ht="15.75">
      <c r="A56" s="70">
        <v>42</v>
      </c>
      <c r="B56" s="71">
        <f t="shared" si="4"/>
        <v>237020.99652004344</v>
      </c>
      <c r="C56" s="69">
        <f t="shared" si="5"/>
        <v>1530.7606025252805</v>
      </c>
      <c r="D56" s="71">
        <f t="shared" si="6"/>
        <v>1469.5051762094383</v>
      </c>
      <c r="E56" s="71">
        <f t="shared" si="2"/>
        <v>3000.2657787347189</v>
      </c>
      <c r="F56" s="71">
        <f t="shared" si="3"/>
        <v>234020.73074130871</v>
      </c>
    </row>
    <row r="57" spans="1:6" ht="15.75">
      <c r="A57" s="70">
        <v>43</v>
      </c>
      <c r="B57" s="71">
        <f t="shared" si="4"/>
        <v>234020.73074130871</v>
      </c>
      <c r="C57" s="69">
        <f t="shared" si="5"/>
        <v>1511.3838860376188</v>
      </c>
      <c r="D57" s="71">
        <f t="shared" si="6"/>
        <v>1488.8818926971001</v>
      </c>
      <c r="E57" s="71">
        <f t="shared" si="2"/>
        <v>3000.2657787347189</v>
      </c>
      <c r="F57" s="71">
        <f t="shared" si="3"/>
        <v>231020.46496257398</v>
      </c>
    </row>
    <row r="58" spans="1:6" ht="15.75">
      <c r="A58" s="70">
        <v>44</v>
      </c>
      <c r="B58" s="71">
        <f t="shared" si="4"/>
        <v>231020.46496257398</v>
      </c>
      <c r="C58" s="69">
        <f t="shared" si="5"/>
        <v>1492.0071695499569</v>
      </c>
      <c r="D58" s="71">
        <f t="shared" si="6"/>
        <v>1508.258609184762</v>
      </c>
      <c r="E58" s="71">
        <f t="shared" si="2"/>
        <v>3000.2657787347189</v>
      </c>
      <c r="F58" s="71">
        <f t="shared" si="3"/>
        <v>228020.19918383926</v>
      </c>
    </row>
    <row r="59" spans="1:6" ht="15.75">
      <c r="A59" s="70">
        <v>45</v>
      </c>
      <c r="B59" s="71">
        <f t="shared" si="4"/>
        <v>228020.19918383926</v>
      </c>
      <c r="C59" s="69">
        <f t="shared" si="5"/>
        <v>1472.6304530622951</v>
      </c>
      <c r="D59" s="71">
        <f t="shared" si="6"/>
        <v>1527.6353256724237</v>
      </c>
      <c r="E59" s="71">
        <f t="shared" si="2"/>
        <v>3000.2657787347189</v>
      </c>
      <c r="F59" s="71">
        <f t="shared" si="3"/>
        <v>225019.93340510453</v>
      </c>
    </row>
    <row r="60" spans="1:6" ht="15.75">
      <c r="A60" s="70">
        <v>46</v>
      </c>
      <c r="B60" s="71">
        <f t="shared" si="4"/>
        <v>225019.93340510453</v>
      </c>
      <c r="C60" s="69">
        <f t="shared" si="5"/>
        <v>1453.2537365746334</v>
      </c>
      <c r="D60" s="71">
        <f t="shared" si="6"/>
        <v>1547.0120421600855</v>
      </c>
      <c r="E60" s="71">
        <f t="shared" si="2"/>
        <v>3000.2657787347189</v>
      </c>
      <c r="F60" s="71">
        <f t="shared" si="3"/>
        <v>222019.6676263698</v>
      </c>
    </row>
    <row r="61" spans="1:6" ht="15.75">
      <c r="A61" s="70">
        <v>47</v>
      </c>
      <c r="B61" s="71">
        <f t="shared" si="4"/>
        <v>222019.6676263698</v>
      </c>
      <c r="C61" s="69">
        <f t="shared" si="5"/>
        <v>1433.8770200869717</v>
      </c>
      <c r="D61" s="71">
        <f t="shared" si="6"/>
        <v>1566.3887586477472</v>
      </c>
      <c r="E61" s="71">
        <f t="shared" si="2"/>
        <v>3000.2657787347189</v>
      </c>
      <c r="F61" s="71">
        <f t="shared" si="3"/>
        <v>219019.40184763508</v>
      </c>
    </row>
    <row r="62" spans="1:6" ht="15.75">
      <c r="A62" s="70">
        <v>48</v>
      </c>
      <c r="B62" s="71">
        <f t="shared" si="4"/>
        <v>219019.40184763508</v>
      </c>
      <c r="C62" s="69">
        <f t="shared" si="5"/>
        <v>1414.5003035993097</v>
      </c>
      <c r="D62" s="71">
        <f t="shared" si="6"/>
        <v>1585.7654751354091</v>
      </c>
      <c r="E62" s="71">
        <f t="shared" si="2"/>
        <v>3000.2657787347189</v>
      </c>
      <c r="F62" s="71">
        <f t="shared" si="3"/>
        <v>216019.13606890035</v>
      </c>
    </row>
    <row r="63" spans="1:6" ht="15.75">
      <c r="A63" s="70">
        <v>49</v>
      </c>
      <c r="B63" s="71">
        <f t="shared" si="4"/>
        <v>216019.13606890035</v>
      </c>
      <c r="C63" s="69">
        <f t="shared" si="5"/>
        <v>1395.123587111648</v>
      </c>
      <c r="D63" s="71">
        <f t="shared" si="6"/>
        <v>1605.1421916230709</v>
      </c>
      <c r="E63" s="71">
        <f t="shared" si="2"/>
        <v>3000.2657787347189</v>
      </c>
      <c r="F63" s="71">
        <f t="shared" si="3"/>
        <v>213018.87029016562</v>
      </c>
    </row>
    <row r="64" spans="1:6" ht="15.75">
      <c r="A64" s="70">
        <v>50</v>
      </c>
      <c r="B64" s="71">
        <f t="shared" si="4"/>
        <v>213018.87029016562</v>
      </c>
      <c r="C64" s="69">
        <f t="shared" si="5"/>
        <v>1375.7468706239863</v>
      </c>
      <c r="D64" s="71">
        <f t="shared" si="6"/>
        <v>1624.5189081107326</v>
      </c>
      <c r="E64" s="71">
        <f t="shared" si="2"/>
        <v>3000.2657787347189</v>
      </c>
      <c r="F64" s="71">
        <f t="shared" si="3"/>
        <v>210018.60451143089</v>
      </c>
    </row>
    <row r="65" spans="1:6" ht="15.75">
      <c r="A65" s="70">
        <v>51</v>
      </c>
      <c r="B65" s="71">
        <f t="shared" si="4"/>
        <v>210018.60451143089</v>
      </c>
      <c r="C65" s="69">
        <f t="shared" si="5"/>
        <v>1356.3701541363246</v>
      </c>
      <c r="D65" s="71">
        <f t="shared" si="6"/>
        <v>1643.8956245983943</v>
      </c>
      <c r="E65" s="71">
        <f t="shared" si="2"/>
        <v>3000.2657787347189</v>
      </c>
      <c r="F65" s="71">
        <f t="shared" si="3"/>
        <v>207018.33873269617</v>
      </c>
    </row>
    <row r="66" spans="1:6" ht="15.75">
      <c r="A66" s="70">
        <v>52</v>
      </c>
      <c r="B66" s="71">
        <f t="shared" si="4"/>
        <v>207018.33873269617</v>
      </c>
      <c r="C66" s="69">
        <f t="shared" si="5"/>
        <v>1336.9934376486628</v>
      </c>
      <c r="D66" s="71">
        <f t="shared" si="6"/>
        <v>1663.272341086056</v>
      </c>
      <c r="E66" s="71">
        <f t="shared" si="2"/>
        <v>3000.2657787347189</v>
      </c>
      <c r="F66" s="71">
        <f t="shared" si="3"/>
        <v>204018.07295396144</v>
      </c>
    </row>
    <row r="67" spans="1:6" ht="15.75">
      <c r="A67" s="70">
        <v>53</v>
      </c>
      <c r="B67" s="71">
        <f t="shared" si="4"/>
        <v>204018.07295396144</v>
      </c>
      <c r="C67" s="69">
        <f t="shared" si="5"/>
        <v>1317.6167211610009</v>
      </c>
      <c r="D67" s="71">
        <f t="shared" si="6"/>
        <v>1682.649057573718</v>
      </c>
      <c r="E67" s="71">
        <f t="shared" si="2"/>
        <v>3000.2657787347189</v>
      </c>
      <c r="F67" s="71">
        <f t="shared" si="3"/>
        <v>201017.80717522671</v>
      </c>
    </row>
    <row r="68" spans="1:6" ht="15.75">
      <c r="A68" s="70">
        <v>54</v>
      </c>
      <c r="B68" s="71">
        <f t="shared" si="4"/>
        <v>201017.80717522671</v>
      </c>
      <c r="C68" s="69">
        <f t="shared" si="5"/>
        <v>1298.2400046733392</v>
      </c>
      <c r="D68" s="71">
        <f t="shared" si="6"/>
        <v>1702.0257740613797</v>
      </c>
      <c r="E68" s="71">
        <f t="shared" si="2"/>
        <v>3000.2657787347189</v>
      </c>
      <c r="F68" s="71">
        <f t="shared" si="3"/>
        <v>198017.54139649199</v>
      </c>
    </row>
    <row r="69" spans="1:6" ht="15.75">
      <c r="A69" s="70">
        <v>55</v>
      </c>
      <c r="B69" s="71">
        <f t="shared" si="4"/>
        <v>198017.54139649199</v>
      </c>
      <c r="C69" s="69">
        <f t="shared" si="5"/>
        <v>1278.8632881856774</v>
      </c>
      <c r="D69" s="71">
        <f t="shared" si="6"/>
        <v>1721.4024905490414</v>
      </c>
      <c r="E69" s="71">
        <f t="shared" si="2"/>
        <v>3000.2657787347189</v>
      </c>
      <c r="F69" s="71">
        <f t="shared" si="3"/>
        <v>195017.27561775726</v>
      </c>
    </row>
    <row r="70" spans="1:6" ht="15.75">
      <c r="A70" s="70">
        <v>56</v>
      </c>
      <c r="B70" s="71">
        <f t="shared" si="4"/>
        <v>195017.27561775726</v>
      </c>
      <c r="C70" s="69">
        <f t="shared" si="5"/>
        <v>1259.4865716980157</v>
      </c>
      <c r="D70" s="71">
        <f t="shared" si="6"/>
        <v>1740.7792070367032</v>
      </c>
      <c r="E70" s="71">
        <f t="shared" si="2"/>
        <v>3000.2657787347189</v>
      </c>
      <c r="F70" s="71">
        <f t="shared" si="3"/>
        <v>192017.00983902253</v>
      </c>
    </row>
    <row r="71" spans="1:6" ht="15.75">
      <c r="A71" s="70">
        <v>57</v>
      </c>
      <c r="B71" s="71">
        <f t="shared" si="4"/>
        <v>192017.00983902253</v>
      </c>
      <c r="C71" s="69">
        <f t="shared" si="5"/>
        <v>1240.1098552103538</v>
      </c>
      <c r="D71" s="71">
        <f t="shared" si="6"/>
        <v>1760.1559235243651</v>
      </c>
      <c r="E71" s="71">
        <f t="shared" si="2"/>
        <v>3000.2657787347189</v>
      </c>
      <c r="F71" s="71">
        <f t="shared" si="3"/>
        <v>189016.74406028781</v>
      </c>
    </row>
    <row r="72" spans="1:6" ht="15.75">
      <c r="A72" s="70">
        <v>58</v>
      </c>
      <c r="B72" s="71">
        <f t="shared" si="4"/>
        <v>189016.74406028781</v>
      </c>
      <c r="C72" s="69">
        <f t="shared" si="5"/>
        <v>1220.733138722692</v>
      </c>
      <c r="D72" s="71">
        <f t="shared" si="6"/>
        <v>1779.5326400120268</v>
      </c>
      <c r="E72" s="71">
        <f t="shared" si="2"/>
        <v>3000.2657787347189</v>
      </c>
      <c r="F72" s="71">
        <f t="shared" si="3"/>
        <v>186016.47828155308</v>
      </c>
    </row>
    <row r="73" spans="1:6" ht="15.75">
      <c r="A73" s="70">
        <v>59</v>
      </c>
      <c r="B73" s="71">
        <f t="shared" si="4"/>
        <v>186016.47828155308</v>
      </c>
      <c r="C73" s="69">
        <f t="shared" si="5"/>
        <v>1201.3564222350303</v>
      </c>
      <c r="D73" s="71">
        <f t="shared" si="6"/>
        <v>1798.9093564996886</v>
      </c>
      <c r="E73" s="71">
        <f t="shared" si="2"/>
        <v>3000.2657787347189</v>
      </c>
      <c r="F73" s="71">
        <f t="shared" si="3"/>
        <v>183016.21250281835</v>
      </c>
    </row>
    <row r="74" spans="1:6" ht="15.75">
      <c r="A74" s="70">
        <v>60</v>
      </c>
      <c r="B74" s="71">
        <f t="shared" si="4"/>
        <v>183016.21250281835</v>
      </c>
      <c r="C74" s="69">
        <f t="shared" si="5"/>
        <v>1181.9797057473686</v>
      </c>
      <c r="D74" s="71">
        <f t="shared" si="6"/>
        <v>1818.2860729873503</v>
      </c>
      <c r="E74" s="71">
        <f t="shared" si="2"/>
        <v>3000.2657787347189</v>
      </c>
      <c r="F74" s="71">
        <f t="shared" si="3"/>
        <v>180015.94672408362</v>
      </c>
    </row>
    <row r="75" spans="1:6" ht="15.75">
      <c r="A75" s="70">
        <v>61</v>
      </c>
      <c r="B75" s="71">
        <f t="shared" si="4"/>
        <v>180015.94672408362</v>
      </c>
      <c r="C75" s="69">
        <f t="shared" si="5"/>
        <v>1162.6029892597066</v>
      </c>
      <c r="D75" s="71">
        <f t="shared" si="6"/>
        <v>1837.6627894750122</v>
      </c>
      <c r="E75" s="71">
        <f t="shared" si="2"/>
        <v>3000.2657787347189</v>
      </c>
      <c r="F75" s="71">
        <f t="shared" si="3"/>
        <v>177015.6809453489</v>
      </c>
    </row>
    <row r="76" spans="1:6" ht="15.75">
      <c r="A76" s="70">
        <v>62</v>
      </c>
      <c r="B76" s="71">
        <f t="shared" si="4"/>
        <v>177015.6809453489</v>
      </c>
      <c r="C76" s="69">
        <f t="shared" si="5"/>
        <v>1143.2262727720449</v>
      </c>
      <c r="D76" s="71">
        <f t="shared" si="6"/>
        <v>1857.039505962674</v>
      </c>
      <c r="E76" s="71">
        <f t="shared" si="2"/>
        <v>3000.2657787347189</v>
      </c>
      <c r="F76" s="71">
        <f t="shared" si="3"/>
        <v>174015.41516661417</v>
      </c>
    </row>
    <row r="77" spans="1:6" ht="15.75">
      <c r="A77" s="70">
        <v>63</v>
      </c>
      <c r="B77" s="71">
        <f t="shared" si="4"/>
        <v>174015.41516661417</v>
      </c>
      <c r="C77" s="69">
        <f t="shared" si="5"/>
        <v>1123.8495562843832</v>
      </c>
      <c r="D77" s="71">
        <f t="shared" si="6"/>
        <v>1876.4162224503357</v>
      </c>
      <c r="E77" s="71">
        <f t="shared" si="2"/>
        <v>3000.2657787347189</v>
      </c>
      <c r="F77" s="71">
        <f t="shared" si="3"/>
        <v>171015.14938787944</v>
      </c>
    </row>
    <row r="78" spans="1:6" ht="15.75">
      <c r="A78" s="70">
        <v>64</v>
      </c>
      <c r="B78" s="71">
        <f t="shared" si="4"/>
        <v>171015.14938787944</v>
      </c>
      <c r="C78" s="69">
        <f t="shared" si="5"/>
        <v>1104.4728397967215</v>
      </c>
      <c r="D78" s="71">
        <f t="shared" si="6"/>
        <v>1895.7929389379974</v>
      </c>
      <c r="E78" s="71">
        <f t="shared" si="2"/>
        <v>3000.2657787347189</v>
      </c>
      <c r="F78" s="71">
        <f t="shared" si="3"/>
        <v>168014.88360914472</v>
      </c>
    </row>
    <row r="79" spans="1:6" ht="15.75">
      <c r="A79" s="70">
        <v>65</v>
      </c>
      <c r="B79" s="71">
        <f t="shared" si="4"/>
        <v>168014.88360914472</v>
      </c>
      <c r="C79" s="69">
        <f t="shared" si="5"/>
        <v>1085.0961233090595</v>
      </c>
      <c r="D79" s="71">
        <f t="shared" si="6"/>
        <v>1915.1696554256594</v>
      </c>
      <c r="E79" s="71">
        <f t="shared" si="2"/>
        <v>3000.2657787347189</v>
      </c>
      <c r="F79" s="71">
        <f t="shared" si="3"/>
        <v>165014.61783040999</v>
      </c>
    </row>
    <row r="80" spans="1:6" ht="15.75">
      <c r="A80" s="70">
        <v>66</v>
      </c>
      <c r="B80" s="71">
        <f t="shared" si="4"/>
        <v>165014.61783040999</v>
      </c>
      <c r="C80" s="69">
        <f t="shared" si="5"/>
        <v>1065.7194068213978</v>
      </c>
      <c r="D80" s="71">
        <f t="shared" si="6"/>
        <v>1934.5463719133211</v>
      </c>
      <c r="E80" s="71">
        <f t="shared" ref="E80:E134" si="7">C80+D80</f>
        <v>3000.2657787347189</v>
      </c>
      <c r="F80" s="71">
        <f t="shared" ref="F80:F134" si="8">B80-E80</f>
        <v>162014.35205167526</v>
      </c>
    </row>
    <row r="81" spans="1:6" ht="15.75">
      <c r="A81" s="70">
        <v>67</v>
      </c>
      <c r="B81" s="71">
        <f t="shared" ref="B81:B134" si="9">F80</f>
        <v>162014.35205167526</v>
      </c>
      <c r="C81" s="69">
        <f t="shared" si="5"/>
        <v>1046.3426903337361</v>
      </c>
      <c r="D81" s="71">
        <f t="shared" si="6"/>
        <v>1953.9230884009828</v>
      </c>
      <c r="E81" s="71">
        <f t="shared" si="7"/>
        <v>3000.2657787347189</v>
      </c>
      <c r="F81" s="71">
        <f t="shared" si="8"/>
        <v>159014.08627294053</v>
      </c>
    </row>
    <row r="82" spans="1:6" ht="15.75">
      <c r="A82" s="70">
        <v>68</v>
      </c>
      <c r="B82" s="71">
        <f t="shared" si="9"/>
        <v>159014.08627294053</v>
      </c>
      <c r="C82" s="69">
        <f t="shared" si="5"/>
        <v>1026.9659738460743</v>
      </c>
      <c r="D82" s="71">
        <f t="shared" si="6"/>
        <v>1973.2998048886445</v>
      </c>
      <c r="E82" s="71">
        <f t="shared" si="7"/>
        <v>3000.2657787347189</v>
      </c>
      <c r="F82" s="71">
        <f t="shared" si="8"/>
        <v>156013.82049420581</v>
      </c>
    </row>
    <row r="83" spans="1:6" ht="15.75">
      <c r="A83" s="70">
        <v>69</v>
      </c>
      <c r="B83" s="71">
        <f t="shared" si="9"/>
        <v>156013.82049420581</v>
      </c>
      <c r="C83" s="69">
        <f t="shared" si="5"/>
        <v>1007.5892573584125</v>
      </c>
      <c r="D83" s="71">
        <f t="shared" si="6"/>
        <v>1992.6765213763065</v>
      </c>
      <c r="E83" s="71">
        <f t="shared" si="7"/>
        <v>3000.2657787347189</v>
      </c>
      <c r="F83" s="71">
        <f t="shared" si="8"/>
        <v>153013.55471547108</v>
      </c>
    </row>
    <row r="84" spans="1:6" ht="15.75">
      <c r="A84" s="70">
        <v>70</v>
      </c>
      <c r="B84" s="71">
        <f t="shared" si="9"/>
        <v>153013.55471547108</v>
      </c>
      <c r="C84" s="69">
        <f t="shared" si="5"/>
        <v>988.21254087075067</v>
      </c>
      <c r="D84" s="71">
        <f t="shared" si="6"/>
        <v>2012.0532378639682</v>
      </c>
      <c r="E84" s="71">
        <f t="shared" si="7"/>
        <v>3000.2657787347189</v>
      </c>
      <c r="F84" s="71">
        <f t="shared" si="8"/>
        <v>150013.28893673635</v>
      </c>
    </row>
    <row r="85" spans="1:6" ht="15.75">
      <c r="A85" s="70">
        <v>71</v>
      </c>
      <c r="B85" s="71">
        <f t="shared" si="9"/>
        <v>150013.28893673635</v>
      </c>
      <c r="C85" s="69">
        <f t="shared" si="5"/>
        <v>968.83582438308895</v>
      </c>
      <c r="D85" s="71">
        <f t="shared" si="6"/>
        <v>2031.4299543516299</v>
      </c>
      <c r="E85" s="71">
        <f t="shared" si="7"/>
        <v>3000.2657787347189</v>
      </c>
      <c r="F85" s="71">
        <f t="shared" si="8"/>
        <v>147013.02315800163</v>
      </c>
    </row>
    <row r="86" spans="1:6" ht="15.75">
      <c r="A86" s="70">
        <v>72</v>
      </c>
      <c r="B86" s="71">
        <f t="shared" si="9"/>
        <v>147013.02315800163</v>
      </c>
      <c r="C86" s="69">
        <f t="shared" si="5"/>
        <v>949.45910789542711</v>
      </c>
      <c r="D86" s="71">
        <f t="shared" si="6"/>
        <v>2050.8066708392917</v>
      </c>
      <c r="E86" s="71">
        <f t="shared" si="7"/>
        <v>3000.2657787347189</v>
      </c>
      <c r="F86" s="71">
        <f t="shared" si="8"/>
        <v>144012.7573792669</v>
      </c>
    </row>
    <row r="87" spans="1:6" ht="15.75">
      <c r="A87" s="70">
        <v>73</v>
      </c>
      <c r="B87" s="71">
        <f t="shared" si="9"/>
        <v>144012.7573792669</v>
      </c>
      <c r="C87" s="69">
        <f t="shared" si="5"/>
        <v>930.08239140776539</v>
      </c>
      <c r="D87" s="71">
        <f t="shared" si="6"/>
        <v>2070.1833873269534</v>
      </c>
      <c r="E87" s="71">
        <f t="shared" si="7"/>
        <v>3000.2657787347189</v>
      </c>
      <c r="F87" s="71">
        <f t="shared" si="8"/>
        <v>141012.49160053217</v>
      </c>
    </row>
    <row r="88" spans="1:6" ht="15.75">
      <c r="A88" s="70">
        <v>74</v>
      </c>
      <c r="B88" s="71">
        <f t="shared" si="9"/>
        <v>141012.49160053217</v>
      </c>
      <c r="C88" s="69">
        <f t="shared" si="5"/>
        <v>910.70567492010366</v>
      </c>
      <c r="D88" s="71">
        <f t="shared" si="6"/>
        <v>2089.5601038146151</v>
      </c>
      <c r="E88" s="71">
        <f t="shared" si="7"/>
        <v>3000.2657787347189</v>
      </c>
      <c r="F88" s="71">
        <f t="shared" si="8"/>
        <v>138012.22582179744</v>
      </c>
    </row>
    <row r="89" spans="1:6" ht="15.75">
      <c r="A89" s="70">
        <v>75</v>
      </c>
      <c r="B89" s="71">
        <f t="shared" si="9"/>
        <v>138012.22582179744</v>
      </c>
      <c r="C89" s="69">
        <f t="shared" si="5"/>
        <v>891.32895843244182</v>
      </c>
      <c r="D89" s="71">
        <f t="shared" si="6"/>
        <v>2108.9368203022768</v>
      </c>
      <c r="E89" s="71">
        <f t="shared" si="7"/>
        <v>3000.2657787347189</v>
      </c>
      <c r="F89" s="71">
        <f t="shared" si="8"/>
        <v>135011.96004306272</v>
      </c>
    </row>
    <row r="90" spans="1:6" ht="15.75">
      <c r="A90" s="70">
        <v>76</v>
      </c>
      <c r="B90" s="71">
        <f t="shared" si="9"/>
        <v>135011.96004306272</v>
      </c>
      <c r="C90" s="69">
        <f t="shared" si="5"/>
        <v>871.9522419447801</v>
      </c>
      <c r="D90" s="71">
        <f t="shared" si="6"/>
        <v>2128.3135367899386</v>
      </c>
      <c r="E90" s="71">
        <f t="shared" si="7"/>
        <v>3000.2657787347189</v>
      </c>
      <c r="F90" s="71">
        <f t="shared" si="8"/>
        <v>132011.69426432799</v>
      </c>
    </row>
    <row r="91" spans="1:6" ht="15.75">
      <c r="A91" s="70">
        <v>77</v>
      </c>
      <c r="B91" s="71">
        <f t="shared" si="9"/>
        <v>132011.69426432799</v>
      </c>
      <c r="C91" s="69">
        <f t="shared" si="5"/>
        <v>852.57552545711826</v>
      </c>
      <c r="D91" s="71">
        <f t="shared" si="6"/>
        <v>2147.6902532776007</v>
      </c>
      <c r="E91" s="71">
        <f t="shared" si="7"/>
        <v>3000.2657787347189</v>
      </c>
      <c r="F91" s="71">
        <f t="shared" si="8"/>
        <v>129011.42848559328</v>
      </c>
    </row>
    <row r="92" spans="1:6" ht="15.75">
      <c r="A92" s="70">
        <v>78</v>
      </c>
      <c r="B92" s="71">
        <f t="shared" si="9"/>
        <v>129011.42848559328</v>
      </c>
      <c r="C92" s="69">
        <f t="shared" si="5"/>
        <v>833.19880896945654</v>
      </c>
      <c r="D92" s="71">
        <f t="shared" si="6"/>
        <v>2167.0669697652625</v>
      </c>
      <c r="E92" s="71">
        <f t="shared" si="7"/>
        <v>3000.2657787347189</v>
      </c>
      <c r="F92" s="71">
        <f t="shared" si="8"/>
        <v>126011.16270685857</v>
      </c>
    </row>
    <row r="93" spans="1:6" ht="15.75">
      <c r="A93" s="70">
        <v>79</v>
      </c>
      <c r="B93" s="71">
        <f t="shared" si="9"/>
        <v>126011.16270685857</v>
      </c>
      <c r="C93" s="69">
        <f t="shared" si="5"/>
        <v>813.82209248179493</v>
      </c>
      <c r="D93" s="71">
        <f t="shared" si="6"/>
        <v>2186.4436862529237</v>
      </c>
      <c r="E93" s="71">
        <f t="shared" si="7"/>
        <v>3000.2657787347189</v>
      </c>
      <c r="F93" s="71">
        <f t="shared" si="8"/>
        <v>123010.89692812385</v>
      </c>
    </row>
    <row r="94" spans="1:6" ht="15.75">
      <c r="A94" s="70">
        <v>80</v>
      </c>
      <c r="B94" s="71">
        <f t="shared" si="9"/>
        <v>123010.89692812385</v>
      </c>
      <c r="C94" s="69">
        <f t="shared" si="5"/>
        <v>794.4453759941332</v>
      </c>
      <c r="D94" s="71">
        <f t="shared" si="6"/>
        <v>2205.8204027405855</v>
      </c>
      <c r="E94" s="71">
        <f t="shared" si="7"/>
        <v>3000.2657787347189</v>
      </c>
      <c r="F94" s="71">
        <f t="shared" si="8"/>
        <v>120010.63114938914</v>
      </c>
    </row>
    <row r="95" spans="1:6" ht="15.75">
      <c r="A95" s="70">
        <v>81</v>
      </c>
      <c r="B95" s="71">
        <f t="shared" si="9"/>
        <v>120010.63114938914</v>
      </c>
      <c r="C95" s="69">
        <f t="shared" si="5"/>
        <v>775.06865950647148</v>
      </c>
      <c r="D95" s="71">
        <f t="shared" si="6"/>
        <v>2225.1971192282472</v>
      </c>
      <c r="E95" s="71">
        <f t="shared" si="7"/>
        <v>3000.2657787347189</v>
      </c>
      <c r="F95" s="71">
        <f t="shared" si="8"/>
        <v>117010.36537065443</v>
      </c>
    </row>
    <row r="96" spans="1:6" ht="15.75">
      <c r="A96" s="70">
        <v>82</v>
      </c>
      <c r="B96" s="71">
        <f t="shared" si="9"/>
        <v>117010.36537065443</v>
      </c>
      <c r="C96" s="69">
        <f t="shared" si="5"/>
        <v>755.69194301880987</v>
      </c>
      <c r="D96" s="71">
        <f t="shared" si="6"/>
        <v>2244.5738357159089</v>
      </c>
      <c r="E96" s="71">
        <f t="shared" si="7"/>
        <v>3000.2657787347189</v>
      </c>
      <c r="F96" s="71">
        <f t="shared" si="8"/>
        <v>114010.09959191972</v>
      </c>
    </row>
    <row r="97" spans="1:6" ht="15.75">
      <c r="A97" s="70">
        <v>83</v>
      </c>
      <c r="B97" s="71">
        <f t="shared" si="9"/>
        <v>114010.09959191972</v>
      </c>
      <c r="C97" s="69">
        <f t="shared" si="5"/>
        <v>736.31522653114814</v>
      </c>
      <c r="D97" s="71">
        <f t="shared" si="6"/>
        <v>2263.9505522035706</v>
      </c>
      <c r="E97" s="71">
        <f t="shared" si="7"/>
        <v>3000.2657787347189</v>
      </c>
      <c r="F97" s="71">
        <f t="shared" si="8"/>
        <v>111009.833813185</v>
      </c>
    </row>
    <row r="98" spans="1:6" ht="15.75">
      <c r="A98" s="70">
        <v>84</v>
      </c>
      <c r="B98" s="71">
        <f t="shared" si="9"/>
        <v>111009.833813185</v>
      </c>
      <c r="C98" s="69">
        <f t="shared" si="5"/>
        <v>716.93851004348653</v>
      </c>
      <c r="D98" s="71">
        <f t="shared" si="6"/>
        <v>2283.3272686912323</v>
      </c>
      <c r="E98" s="71">
        <f t="shared" si="7"/>
        <v>3000.2657787347189</v>
      </c>
      <c r="F98" s="71">
        <f t="shared" si="8"/>
        <v>108009.56803445029</v>
      </c>
    </row>
    <row r="99" spans="1:6" ht="15.75">
      <c r="A99" s="70">
        <v>85</v>
      </c>
      <c r="B99" s="71">
        <f t="shared" si="9"/>
        <v>108009.56803445029</v>
      </c>
      <c r="C99" s="69">
        <f t="shared" si="5"/>
        <v>697.56179355582481</v>
      </c>
      <c r="D99" s="71">
        <f t="shared" si="6"/>
        <v>2302.7039851788941</v>
      </c>
      <c r="E99" s="71">
        <f t="shared" si="7"/>
        <v>3000.2657787347189</v>
      </c>
      <c r="F99" s="71">
        <f t="shared" si="8"/>
        <v>105009.30225571558</v>
      </c>
    </row>
    <row r="100" spans="1:6" ht="15.75">
      <c r="A100" s="70">
        <v>86</v>
      </c>
      <c r="B100" s="71">
        <f t="shared" si="9"/>
        <v>105009.30225571558</v>
      </c>
      <c r="C100" s="69">
        <f t="shared" si="5"/>
        <v>678.18507706816308</v>
      </c>
      <c r="D100" s="71">
        <f t="shared" si="6"/>
        <v>2322.0807016665558</v>
      </c>
      <c r="E100" s="71">
        <f t="shared" si="7"/>
        <v>3000.2657787347189</v>
      </c>
      <c r="F100" s="71">
        <f t="shared" si="8"/>
        <v>102009.03647698087</v>
      </c>
    </row>
    <row r="101" spans="1:6" ht="15.75">
      <c r="A101" s="70">
        <v>87</v>
      </c>
      <c r="B101" s="71">
        <f t="shared" si="9"/>
        <v>102009.03647698087</v>
      </c>
      <c r="C101" s="69">
        <f t="shared" si="5"/>
        <v>658.80836058050147</v>
      </c>
      <c r="D101" s="71">
        <f t="shared" si="6"/>
        <v>2341.4574181542175</v>
      </c>
      <c r="E101" s="71">
        <f t="shared" si="7"/>
        <v>3000.2657787347189</v>
      </c>
      <c r="F101" s="71">
        <f t="shared" si="8"/>
        <v>99008.770698246153</v>
      </c>
    </row>
    <row r="102" spans="1:6" ht="15.75">
      <c r="A102" s="70">
        <v>88</v>
      </c>
      <c r="B102" s="71">
        <f t="shared" si="9"/>
        <v>99008.770698246153</v>
      </c>
      <c r="C102" s="69">
        <f t="shared" si="5"/>
        <v>639.43164409283975</v>
      </c>
      <c r="D102" s="71">
        <f t="shared" si="6"/>
        <v>2360.8341346418792</v>
      </c>
      <c r="E102" s="71">
        <f t="shared" si="7"/>
        <v>3000.2657787347189</v>
      </c>
      <c r="F102" s="71">
        <f t="shared" si="8"/>
        <v>96008.504919511441</v>
      </c>
    </row>
    <row r="103" spans="1:6" ht="15.75">
      <c r="A103" s="70">
        <v>89</v>
      </c>
      <c r="B103" s="71">
        <f t="shared" si="9"/>
        <v>96008.504919511441</v>
      </c>
      <c r="C103" s="69">
        <f t="shared" si="5"/>
        <v>620.05492760517802</v>
      </c>
      <c r="D103" s="71">
        <f t="shared" si="6"/>
        <v>2380.210851129541</v>
      </c>
      <c r="E103" s="71">
        <f t="shared" si="7"/>
        <v>3000.2657787347189</v>
      </c>
      <c r="F103" s="71">
        <f t="shared" si="8"/>
        <v>93008.239140776728</v>
      </c>
    </row>
    <row r="104" spans="1:6" ht="15.75">
      <c r="A104" s="70">
        <v>90</v>
      </c>
      <c r="B104" s="71">
        <f t="shared" si="9"/>
        <v>93008.239140776728</v>
      </c>
      <c r="C104" s="69">
        <f t="shared" si="5"/>
        <v>600.67821111751641</v>
      </c>
      <c r="D104" s="71">
        <f t="shared" si="6"/>
        <v>2399.5875676172027</v>
      </c>
      <c r="E104" s="71">
        <f t="shared" si="7"/>
        <v>3000.2657787347189</v>
      </c>
      <c r="F104" s="71">
        <f t="shared" si="8"/>
        <v>90007.973362042016</v>
      </c>
    </row>
    <row r="105" spans="1:6" ht="15.75">
      <c r="A105" s="70">
        <v>91</v>
      </c>
      <c r="B105" s="71">
        <f t="shared" si="9"/>
        <v>90007.973362042016</v>
      </c>
      <c r="C105" s="69">
        <f t="shared" si="5"/>
        <v>581.30149462985469</v>
      </c>
      <c r="D105" s="71">
        <f t="shared" si="6"/>
        <v>2418.9642841048644</v>
      </c>
      <c r="E105" s="71">
        <f t="shared" si="7"/>
        <v>3000.2657787347189</v>
      </c>
      <c r="F105" s="71">
        <f t="shared" si="8"/>
        <v>87007.707583307303</v>
      </c>
    </row>
    <row r="106" spans="1:6" ht="15.75">
      <c r="A106" s="70">
        <v>92</v>
      </c>
      <c r="B106" s="71">
        <f t="shared" si="9"/>
        <v>87007.707583307303</v>
      </c>
      <c r="C106" s="69">
        <f t="shared" si="5"/>
        <v>561.92477814219296</v>
      </c>
      <c r="D106" s="71">
        <f t="shared" si="6"/>
        <v>2438.3410005925261</v>
      </c>
      <c r="E106" s="71">
        <f t="shared" si="7"/>
        <v>3000.2657787347189</v>
      </c>
      <c r="F106" s="71">
        <f t="shared" si="8"/>
        <v>84007.441804572591</v>
      </c>
    </row>
    <row r="107" spans="1:6" ht="15.75">
      <c r="A107" s="70">
        <v>93</v>
      </c>
      <c r="B107" s="71">
        <f t="shared" si="9"/>
        <v>84007.441804572591</v>
      </c>
      <c r="C107" s="69">
        <f t="shared" si="5"/>
        <v>542.54806165453135</v>
      </c>
      <c r="D107" s="71">
        <f t="shared" si="6"/>
        <v>2457.7177170801874</v>
      </c>
      <c r="E107" s="71">
        <f t="shared" si="7"/>
        <v>3000.2657787347189</v>
      </c>
      <c r="F107" s="71">
        <f t="shared" si="8"/>
        <v>81007.176025837878</v>
      </c>
    </row>
    <row r="108" spans="1:6" ht="15.75">
      <c r="A108" s="70">
        <v>94</v>
      </c>
      <c r="B108" s="71">
        <f t="shared" si="9"/>
        <v>81007.176025837878</v>
      </c>
      <c r="C108" s="69">
        <f t="shared" si="5"/>
        <v>523.17134516686963</v>
      </c>
      <c r="D108" s="71">
        <f t="shared" si="6"/>
        <v>2477.0944335678491</v>
      </c>
      <c r="E108" s="71">
        <f t="shared" si="7"/>
        <v>3000.2657787347189</v>
      </c>
      <c r="F108" s="71">
        <f t="shared" si="8"/>
        <v>78006.910247103166</v>
      </c>
    </row>
    <row r="109" spans="1:6" ht="15.75">
      <c r="A109" s="70">
        <v>95</v>
      </c>
      <c r="B109" s="71">
        <f t="shared" si="9"/>
        <v>78006.910247103166</v>
      </c>
      <c r="C109" s="69">
        <f t="shared" si="5"/>
        <v>503.79462867920796</v>
      </c>
      <c r="D109" s="71">
        <f t="shared" si="6"/>
        <v>2496.4711500555109</v>
      </c>
      <c r="E109" s="71">
        <f t="shared" si="7"/>
        <v>3000.2657787347189</v>
      </c>
      <c r="F109" s="71">
        <f t="shared" si="8"/>
        <v>75006.644468368453</v>
      </c>
    </row>
    <row r="110" spans="1:6" ht="15.75">
      <c r="A110" s="70">
        <v>96</v>
      </c>
      <c r="B110" s="71">
        <f t="shared" si="9"/>
        <v>75006.644468368453</v>
      </c>
      <c r="C110" s="69">
        <f t="shared" si="5"/>
        <v>484.41791219154624</v>
      </c>
      <c r="D110" s="71">
        <f t="shared" si="6"/>
        <v>2515.8478665431726</v>
      </c>
      <c r="E110" s="71">
        <f t="shared" si="7"/>
        <v>3000.2657787347189</v>
      </c>
      <c r="F110" s="71">
        <f t="shared" si="8"/>
        <v>72006.378689633741</v>
      </c>
    </row>
    <row r="111" spans="1:6" ht="15.75">
      <c r="A111" s="70">
        <v>97</v>
      </c>
      <c r="B111" s="71">
        <f t="shared" si="9"/>
        <v>72006.378689633741</v>
      </c>
      <c r="C111" s="69">
        <f t="shared" ref="C111:C134" si="10">B111*(Rate/12)</f>
        <v>465.04119570388457</v>
      </c>
      <c r="D111" s="71">
        <f t="shared" ref="D111:D134" si="11">Payment-C111</f>
        <v>2535.2245830308343</v>
      </c>
      <c r="E111" s="71">
        <f t="shared" si="7"/>
        <v>3000.2657787347189</v>
      </c>
      <c r="F111" s="71">
        <f t="shared" si="8"/>
        <v>69006.112910899028</v>
      </c>
    </row>
    <row r="112" spans="1:6" ht="15.75">
      <c r="A112" s="70">
        <v>98</v>
      </c>
      <c r="B112" s="71">
        <f t="shared" si="9"/>
        <v>69006.112910899028</v>
      </c>
      <c r="C112" s="69">
        <f t="shared" si="10"/>
        <v>445.6644792162229</v>
      </c>
      <c r="D112" s="71">
        <f t="shared" si="11"/>
        <v>2554.601299518496</v>
      </c>
      <c r="E112" s="71">
        <f t="shared" si="7"/>
        <v>3000.2657787347189</v>
      </c>
      <c r="F112" s="71">
        <f t="shared" si="8"/>
        <v>66005.847132164316</v>
      </c>
    </row>
    <row r="113" spans="1:6" ht="15.75">
      <c r="A113" s="70">
        <v>99</v>
      </c>
      <c r="B113" s="71">
        <f t="shared" si="9"/>
        <v>66005.847132164316</v>
      </c>
      <c r="C113" s="69">
        <f t="shared" si="10"/>
        <v>426.28776272856118</v>
      </c>
      <c r="D113" s="71">
        <f t="shared" si="11"/>
        <v>2573.9780160061578</v>
      </c>
      <c r="E113" s="71">
        <f t="shared" si="7"/>
        <v>3000.2657787347189</v>
      </c>
      <c r="F113" s="71">
        <f t="shared" si="8"/>
        <v>63005.581353429596</v>
      </c>
    </row>
    <row r="114" spans="1:6" ht="15.75">
      <c r="A114" s="70">
        <v>100</v>
      </c>
      <c r="B114" s="71">
        <f t="shared" si="9"/>
        <v>63005.581353429596</v>
      </c>
      <c r="C114" s="69">
        <f t="shared" si="10"/>
        <v>406.91104624089945</v>
      </c>
      <c r="D114" s="71">
        <f t="shared" si="11"/>
        <v>2593.3547324938195</v>
      </c>
      <c r="E114" s="71">
        <f t="shared" si="7"/>
        <v>3000.2657787347189</v>
      </c>
      <c r="F114" s="71">
        <f t="shared" si="8"/>
        <v>60005.315574694876</v>
      </c>
    </row>
    <row r="115" spans="1:6" ht="15.75">
      <c r="A115" s="70">
        <v>101</v>
      </c>
      <c r="B115" s="71">
        <f t="shared" si="9"/>
        <v>60005.315574694876</v>
      </c>
      <c r="C115" s="69">
        <f t="shared" si="10"/>
        <v>387.53432975323773</v>
      </c>
      <c r="D115" s="71">
        <f t="shared" si="11"/>
        <v>2612.7314489814812</v>
      </c>
      <c r="E115" s="71">
        <f t="shared" si="7"/>
        <v>3000.2657787347189</v>
      </c>
      <c r="F115" s="71">
        <f t="shared" si="8"/>
        <v>57005.049795960156</v>
      </c>
    </row>
    <row r="116" spans="1:6" ht="15.75">
      <c r="A116" s="70">
        <v>102</v>
      </c>
      <c r="B116" s="71">
        <f t="shared" si="9"/>
        <v>57005.049795960156</v>
      </c>
      <c r="C116" s="69">
        <f t="shared" si="10"/>
        <v>368.157613265576</v>
      </c>
      <c r="D116" s="71">
        <f t="shared" si="11"/>
        <v>2632.1081654691429</v>
      </c>
      <c r="E116" s="71">
        <f t="shared" si="7"/>
        <v>3000.2657787347189</v>
      </c>
      <c r="F116" s="71">
        <f t="shared" si="8"/>
        <v>54004.784017225436</v>
      </c>
    </row>
    <row r="117" spans="1:6" ht="15.75">
      <c r="A117" s="70">
        <v>103</v>
      </c>
      <c r="B117" s="71">
        <f t="shared" si="9"/>
        <v>54004.784017225436</v>
      </c>
      <c r="C117" s="69">
        <f t="shared" si="10"/>
        <v>348.78089677791428</v>
      </c>
      <c r="D117" s="71">
        <f t="shared" si="11"/>
        <v>2651.4848819568047</v>
      </c>
      <c r="E117" s="71">
        <f t="shared" si="7"/>
        <v>3000.2657787347189</v>
      </c>
      <c r="F117" s="71">
        <f t="shared" si="8"/>
        <v>51004.518238490717</v>
      </c>
    </row>
    <row r="118" spans="1:6" ht="15.75">
      <c r="A118" s="70">
        <v>104</v>
      </c>
      <c r="B118" s="71">
        <f t="shared" si="9"/>
        <v>51004.518238490717</v>
      </c>
      <c r="C118" s="69">
        <f t="shared" si="10"/>
        <v>329.40418029025255</v>
      </c>
      <c r="D118" s="71">
        <f t="shared" si="11"/>
        <v>2670.8615984444664</v>
      </c>
      <c r="E118" s="71">
        <f t="shared" si="7"/>
        <v>3000.2657787347189</v>
      </c>
      <c r="F118" s="71">
        <f t="shared" si="8"/>
        <v>48004.252459755997</v>
      </c>
    </row>
    <row r="119" spans="1:6" ht="15.75">
      <c r="A119" s="70">
        <v>105</v>
      </c>
      <c r="B119" s="71">
        <f t="shared" si="9"/>
        <v>48004.252459755997</v>
      </c>
      <c r="C119" s="69">
        <f t="shared" si="10"/>
        <v>310.02746380259083</v>
      </c>
      <c r="D119" s="71">
        <f t="shared" si="11"/>
        <v>2690.2383149321281</v>
      </c>
      <c r="E119" s="71">
        <f t="shared" si="7"/>
        <v>3000.2657787347189</v>
      </c>
      <c r="F119" s="71">
        <f t="shared" si="8"/>
        <v>45003.986681021277</v>
      </c>
    </row>
    <row r="120" spans="1:6" ht="15.75">
      <c r="A120" s="70">
        <v>106</v>
      </c>
      <c r="B120" s="71">
        <f t="shared" si="9"/>
        <v>45003.986681021277</v>
      </c>
      <c r="C120" s="69">
        <f t="shared" si="10"/>
        <v>290.65074731492911</v>
      </c>
      <c r="D120" s="71">
        <f t="shared" si="11"/>
        <v>2709.6150314197898</v>
      </c>
      <c r="E120" s="71">
        <f t="shared" si="7"/>
        <v>3000.2657787347189</v>
      </c>
      <c r="F120" s="71">
        <f t="shared" si="8"/>
        <v>42003.720902286557</v>
      </c>
    </row>
    <row r="121" spans="1:6" ht="15.75">
      <c r="A121" s="70">
        <v>107</v>
      </c>
      <c r="B121" s="71">
        <f t="shared" si="9"/>
        <v>42003.720902286557</v>
      </c>
      <c r="C121" s="69">
        <f t="shared" si="10"/>
        <v>271.27403082726732</v>
      </c>
      <c r="D121" s="71">
        <f t="shared" si="11"/>
        <v>2728.9917479074516</v>
      </c>
      <c r="E121" s="71">
        <f t="shared" si="7"/>
        <v>3000.2657787347189</v>
      </c>
      <c r="F121" s="71">
        <f t="shared" si="8"/>
        <v>39003.455123551837</v>
      </c>
    </row>
    <row r="122" spans="1:6" ht="15.75">
      <c r="A122" s="70">
        <v>108</v>
      </c>
      <c r="B122" s="71">
        <f t="shared" si="9"/>
        <v>39003.455123551837</v>
      </c>
      <c r="C122" s="69">
        <f t="shared" si="10"/>
        <v>251.89731433960563</v>
      </c>
      <c r="D122" s="71">
        <f t="shared" si="11"/>
        <v>2748.3684643951133</v>
      </c>
      <c r="E122" s="71">
        <f t="shared" si="7"/>
        <v>3000.2657787347189</v>
      </c>
      <c r="F122" s="71">
        <f t="shared" si="8"/>
        <v>36003.189344817118</v>
      </c>
    </row>
    <row r="123" spans="1:6" ht="15.75">
      <c r="A123" s="70">
        <v>109</v>
      </c>
      <c r="B123" s="71">
        <f t="shared" si="9"/>
        <v>36003.189344817118</v>
      </c>
      <c r="C123" s="69">
        <f t="shared" si="10"/>
        <v>232.52059785194388</v>
      </c>
      <c r="D123" s="71">
        <f t="shared" si="11"/>
        <v>2767.745180882775</v>
      </c>
      <c r="E123" s="71">
        <f t="shared" si="7"/>
        <v>3000.2657787347189</v>
      </c>
      <c r="F123" s="71">
        <f t="shared" si="8"/>
        <v>33002.923566082398</v>
      </c>
    </row>
    <row r="124" spans="1:6" ht="15.75">
      <c r="A124" s="70">
        <v>110</v>
      </c>
      <c r="B124" s="71">
        <f t="shared" si="9"/>
        <v>33002.923566082398</v>
      </c>
      <c r="C124" s="69">
        <f t="shared" si="10"/>
        <v>213.14388136428215</v>
      </c>
      <c r="D124" s="71">
        <f t="shared" si="11"/>
        <v>2787.1218973704367</v>
      </c>
      <c r="E124" s="71">
        <f t="shared" si="7"/>
        <v>3000.2657787347189</v>
      </c>
      <c r="F124" s="71">
        <f t="shared" si="8"/>
        <v>30002.657787347678</v>
      </c>
    </row>
    <row r="125" spans="1:6" ht="15.75">
      <c r="A125" s="70">
        <v>111</v>
      </c>
      <c r="B125" s="71">
        <f t="shared" si="9"/>
        <v>30002.657787347678</v>
      </c>
      <c r="C125" s="69">
        <f t="shared" si="10"/>
        <v>193.76716487662043</v>
      </c>
      <c r="D125" s="71">
        <f t="shared" si="11"/>
        <v>2806.4986138580985</v>
      </c>
      <c r="E125" s="71">
        <f t="shared" si="7"/>
        <v>3000.2657787347189</v>
      </c>
      <c r="F125" s="71">
        <f t="shared" si="8"/>
        <v>27002.392008612958</v>
      </c>
    </row>
    <row r="126" spans="1:6" ht="15.75">
      <c r="A126" s="70">
        <v>112</v>
      </c>
      <c r="B126" s="71">
        <f t="shared" si="9"/>
        <v>27002.392008612958</v>
      </c>
      <c r="C126" s="69">
        <f t="shared" si="10"/>
        <v>174.39044838895867</v>
      </c>
      <c r="D126" s="71">
        <f t="shared" si="11"/>
        <v>2825.8753303457602</v>
      </c>
      <c r="E126" s="71">
        <f t="shared" si="7"/>
        <v>3000.2657787347189</v>
      </c>
      <c r="F126" s="71">
        <f t="shared" si="8"/>
        <v>24002.126229878239</v>
      </c>
    </row>
    <row r="127" spans="1:6" ht="15.75">
      <c r="A127" s="70">
        <v>113</v>
      </c>
      <c r="B127" s="71">
        <f t="shared" si="9"/>
        <v>24002.126229878239</v>
      </c>
      <c r="C127" s="69">
        <f t="shared" si="10"/>
        <v>155.01373190129695</v>
      </c>
      <c r="D127" s="71">
        <f t="shared" si="11"/>
        <v>2845.2520468334219</v>
      </c>
      <c r="E127" s="71">
        <f t="shared" si="7"/>
        <v>3000.2657787347189</v>
      </c>
      <c r="F127" s="71">
        <f t="shared" si="8"/>
        <v>21001.860451143519</v>
      </c>
    </row>
    <row r="128" spans="1:6" ht="15.75">
      <c r="A128" s="70">
        <v>114</v>
      </c>
      <c r="B128" s="71">
        <f t="shared" si="9"/>
        <v>21001.860451143519</v>
      </c>
      <c r="C128" s="69">
        <f t="shared" si="10"/>
        <v>135.63701541363523</v>
      </c>
      <c r="D128" s="71">
        <f t="shared" si="11"/>
        <v>2864.6287633210836</v>
      </c>
      <c r="E128" s="71">
        <f t="shared" si="7"/>
        <v>3000.2657787347189</v>
      </c>
      <c r="F128" s="71">
        <f t="shared" si="8"/>
        <v>18001.594672408799</v>
      </c>
    </row>
    <row r="129" spans="1:6" ht="15.75">
      <c r="A129" s="70">
        <v>115</v>
      </c>
      <c r="B129" s="71">
        <f t="shared" si="9"/>
        <v>18001.594672408799</v>
      </c>
      <c r="C129" s="69">
        <f t="shared" si="10"/>
        <v>116.26029892597349</v>
      </c>
      <c r="D129" s="71">
        <f t="shared" si="11"/>
        <v>2884.0054798087453</v>
      </c>
      <c r="E129" s="71">
        <f t="shared" si="7"/>
        <v>3000.2657787347189</v>
      </c>
      <c r="F129" s="71">
        <f t="shared" si="8"/>
        <v>15001.328893674079</v>
      </c>
    </row>
    <row r="130" spans="1:6" ht="15.75">
      <c r="A130" s="70">
        <v>116</v>
      </c>
      <c r="B130" s="71">
        <f t="shared" si="9"/>
        <v>15001.328893674079</v>
      </c>
      <c r="C130" s="69">
        <f t="shared" si="10"/>
        <v>96.883582438311763</v>
      </c>
      <c r="D130" s="71">
        <f t="shared" si="11"/>
        <v>2903.3821962964071</v>
      </c>
      <c r="E130" s="71">
        <f t="shared" si="7"/>
        <v>3000.2657787347189</v>
      </c>
      <c r="F130" s="71">
        <f t="shared" si="8"/>
        <v>12001.063114939359</v>
      </c>
    </row>
    <row r="131" spans="1:6" ht="15.75">
      <c r="A131" s="70">
        <v>117</v>
      </c>
      <c r="B131" s="71">
        <f t="shared" si="9"/>
        <v>12001.063114939359</v>
      </c>
      <c r="C131" s="69">
        <f t="shared" si="10"/>
        <v>77.506865950650024</v>
      </c>
      <c r="D131" s="71">
        <f t="shared" si="11"/>
        <v>2922.7589127840688</v>
      </c>
      <c r="E131" s="71">
        <f t="shared" si="7"/>
        <v>3000.2657787347189</v>
      </c>
      <c r="F131" s="71">
        <f t="shared" si="8"/>
        <v>9000.7973362046396</v>
      </c>
    </row>
    <row r="132" spans="1:6" ht="15.75">
      <c r="A132" s="70">
        <v>118</v>
      </c>
      <c r="B132" s="71">
        <f t="shared" si="9"/>
        <v>9000.7973362046396</v>
      </c>
      <c r="C132" s="69">
        <f t="shared" si="10"/>
        <v>58.1301494629883</v>
      </c>
      <c r="D132" s="71">
        <f t="shared" si="11"/>
        <v>2942.1356292717305</v>
      </c>
      <c r="E132" s="71">
        <f t="shared" si="7"/>
        <v>3000.2657787347189</v>
      </c>
      <c r="F132" s="71">
        <f t="shared" si="8"/>
        <v>6000.5315574699207</v>
      </c>
    </row>
    <row r="133" spans="1:6" ht="15.75">
      <c r="A133" s="70">
        <v>119</v>
      </c>
      <c r="B133" s="71">
        <f t="shared" si="9"/>
        <v>6000.5315574699207</v>
      </c>
      <c r="C133" s="69">
        <f t="shared" si="10"/>
        <v>38.753432975326568</v>
      </c>
      <c r="D133" s="71">
        <f t="shared" si="11"/>
        <v>2961.5123457593922</v>
      </c>
      <c r="E133" s="71">
        <f t="shared" si="7"/>
        <v>3000.2657787347189</v>
      </c>
      <c r="F133" s="71">
        <f t="shared" si="8"/>
        <v>3000.2657787352018</v>
      </c>
    </row>
    <row r="134" spans="1:6" ht="15.75">
      <c r="A134" s="70">
        <v>120</v>
      </c>
      <c r="B134" s="71">
        <f t="shared" si="9"/>
        <v>3000.2657787352018</v>
      </c>
      <c r="C134" s="69">
        <f t="shared" si="10"/>
        <v>19.376716487664844</v>
      </c>
      <c r="D134" s="71">
        <f t="shared" si="11"/>
        <v>2980.889062247054</v>
      </c>
      <c r="E134" s="71">
        <f t="shared" si="7"/>
        <v>3000.2657787347189</v>
      </c>
      <c r="F134" s="71">
        <f t="shared" si="8"/>
        <v>4.8294168664142489E-10</v>
      </c>
    </row>
  </sheetData>
  <mergeCells count="2">
    <mergeCell ref="A1:F2"/>
    <mergeCell ref="A3:F3"/>
  </mergeCells>
  <pageMargins left="0.7" right="0.7" top="0.75" bottom="0.75" header="0.3" footer="0.3"/>
  <pageSetup scale="21" orientation="landscape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/>
  </sheetPr>
  <dimension ref="A1:E7"/>
  <sheetViews>
    <sheetView workbookViewId="0">
      <selection activeCell="E7" sqref="E7"/>
    </sheetView>
  </sheetViews>
  <sheetFormatPr defaultRowHeight="15.75"/>
  <cols>
    <col min="1" max="1" width="16.75" bestFit="1" customWidth="1"/>
    <col min="2" max="2" width="17.875" customWidth="1"/>
    <col min="3" max="3" width="11.25" customWidth="1"/>
    <col min="4" max="4" width="12.625" bestFit="1" customWidth="1"/>
    <col min="5" max="5" width="11.625" bestFit="1" customWidth="1"/>
  </cols>
  <sheetData>
    <row r="1" spans="1:5" ht="23.25">
      <c r="A1" s="162" t="s">
        <v>185</v>
      </c>
      <c r="B1" s="162"/>
      <c r="C1" s="162"/>
      <c r="D1" s="162"/>
    </row>
    <row r="2" spans="1:5">
      <c r="A2" t="s">
        <v>186</v>
      </c>
      <c r="B2" t="s">
        <v>187</v>
      </c>
      <c r="C2" t="s">
        <v>188</v>
      </c>
      <c r="D2" t="s">
        <v>180</v>
      </c>
      <c r="E2" t="s">
        <v>225</v>
      </c>
    </row>
    <row r="3" spans="1:5">
      <c r="A3" t="s">
        <v>189</v>
      </c>
      <c r="B3" s="1">
        <v>30000</v>
      </c>
      <c r="C3">
        <v>2</v>
      </c>
      <c r="D3" s="81">
        <f>B3*C3</f>
        <v>60000</v>
      </c>
      <c r="E3" s="1">
        <f>StartingInventory[[#This Row],[Price Per Model]]*120%</f>
        <v>36000</v>
      </c>
    </row>
    <row r="4" spans="1:5">
      <c r="A4" t="s">
        <v>190</v>
      </c>
      <c r="B4" s="124">
        <v>50000</v>
      </c>
      <c r="C4">
        <v>1</v>
      </c>
      <c r="D4" s="81">
        <f>B4*C4</f>
        <v>50000</v>
      </c>
      <c r="E4" s="1">
        <f>StartingInventory[[#This Row],[Price Per Model]]*120%</f>
        <v>60000</v>
      </c>
    </row>
    <row r="5" spans="1:5">
      <c r="A5" t="s">
        <v>191</v>
      </c>
      <c r="B5" s="124">
        <v>20000</v>
      </c>
      <c r="C5">
        <v>3</v>
      </c>
      <c r="D5" s="81">
        <f>B5*C5</f>
        <v>60000</v>
      </c>
      <c r="E5" s="1">
        <f>StartingInventory[[#This Row],[Price Per Model]]*120%</f>
        <v>24000</v>
      </c>
    </row>
    <row r="6" spans="1:5">
      <c r="A6" t="s">
        <v>192</v>
      </c>
      <c r="B6" s="124">
        <v>60000</v>
      </c>
      <c r="C6">
        <v>5</v>
      </c>
      <c r="D6" s="81">
        <f>B6*C6</f>
        <v>300000</v>
      </c>
      <c r="E6" s="1">
        <f>StartingInventory[[#This Row],[Price Per Model]]*120%</f>
        <v>72000</v>
      </c>
    </row>
    <row r="7" spans="1:5">
      <c r="A7" t="s">
        <v>180</v>
      </c>
      <c r="B7" s="125">
        <f>SUBTOTAL(101,[Price Per Model])</f>
        <v>40000</v>
      </c>
      <c r="D7" s="81">
        <f>SUBTOTAL(109,[Total])</f>
        <v>470000</v>
      </c>
      <c r="E7" s="81">
        <f>SUBTOTAL(101,[Markup])</f>
        <v>48000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B10"/>
  <sheetViews>
    <sheetView workbookViewId="0">
      <selection activeCell="B10" sqref="B10"/>
    </sheetView>
  </sheetViews>
  <sheetFormatPr defaultRowHeight="15.75"/>
  <cols>
    <col min="1" max="1" width="19.75" bestFit="1" customWidth="1"/>
    <col min="2" max="2" width="11.5" customWidth="1"/>
  </cols>
  <sheetData>
    <row r="1" spans="1:2">
      <c r="A1" t="s">
        <v>193</v>
      </c>
    </row>
    <row r="2" spans="1:2">
      <c r="A2" t="s">
        <v>194</v>
      </c>
      <c r="B2" t="s">
        <v>195</v>
      </c>
    </row>
    <row r="3" spans="1:2">
      <c r="A3" t="s">
        <v>196</v>
      </c>
      <c r="B3" s="1">
        <v>250</v>
      </c>
    </row>
    <row r="4" spans="1:2">
      <c r="A4" t="s">
        <v>197</v>
      </c>
      <c r="B4" s="124">
        <v>300</v>
      </c>
    </row>
    <row r="5" spans="1:2">
      <c r="A5" t="s">
        <v>198</v>
      </c>
      <c r="B5" s="124">
        <v>250</v>
      </c>
    </row>
    <row r="6" spans="1:2">
      <c r="A6" t="s">
        <v>199</v>
      </c>
      <c r="B6" s="124">
        <v>170</v>
      </c>
    </row>
    <row r="7" spans="1:2">
      <c r="A7" t="s">
        <v>200</v>
      </c>
      <c r="B7" s="124">
        <v>300</v>
      </c>
    </row>
    <row r="8" spans="1:2">
      <c r="A8" t="s">
        <v>201</v>
      </c>
      <c r="B8" s="124">
        <v>625</v>
      </c>
    </row>
    <row r="9" spans="1:2">
      <c r="A9" t="s">
        <v>202</v>
      </c>
      <c r="B9" s="124">
        <v>208</v>
      </c>
    </row>
    <row r="10" spans="1:2">
      <c r="A10" t="s">
        <v>180</v>
      </c>
      <c r="B10" s="125">
        <f>SUBTOTAL(109,[Premium])</f>
        <v>2103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activeCell="B4" sqref="B4"/>
    </sheetView>
  </sheetViews>
  <sheetFormatPr defaultRowHeight="15.75"/>
  <cols>
    <col min="1" max="1" width="22.375" bestFit="1" customWidth="1"/>
  </cols>
  <sheetData>
    <row r="1" spans="1:2">
      <c r="A1" t="s">
        <v>203</v>
      </c>
      <c r="B1" t="s">
        <v>54</v>
      </c>
    </row>
    <row r="2" spans="1:2">
      <c r="A2" t="s">
        <v>204</v>
      </c>
      <c r="B2" s="1">
        <v>145</v>
      </c>
    </row>
    <row r="3" spans="1:2">
      <c r="A3" t="s">
        <v>205</v>
      </c>
      <c r="B3" s="124">
        <v>50</v>
      </c>
    </row>
    <row r="4" spans="1:2">
      <c r="A4" t="s">
        <v>206</v>
      </c>
      <c r="B4" s="124">
        <v>70</v>
      </c>
    </row>
    <row r="5" spans="1:2">
      <c r="A5" t="s">
        <v>180</v>
      </c>
      <c r="B5" s="125">
        <f>SUBTOTAL(109,[Cost])</f>
        <v>265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D10"/>
  <sheetViews>
    <sheetView workbookViewId="0">
      <selection activeCell="D10" sqref="D10"/>
    </sheetView>
  </sheetViews>
  <sheetFormatPr defaultRowHeight="15.75"/>
  <cols>
    <col min="1" max="1" width="15.875" bestFit="1" customWidth="1"/>
    <col min="2" max="2" width="11.25" customWidth="1"/>
    <col min="3" max="3" width="10.25" bestFit="1" customWidth="1"/>
    <col min="4" max="4" width="14.625" style="1" bestFit="1" customWidth="1"/>
  </cols>
  <sheetData>
    <row r="1" spans="1:4" ht="23.25">
      <c r="A1" s="163" t="s">
        <v>208</v>
      </c>
      <c r="B1" s="163"/>
      <c r="C1" s="163"/>
      <c r="D1" s="163"/>
    </row>
    <row r="2" spans="1:4">
      <c r="A2" t="s">
        <v>207</v>
      </c>
      <c r="B2" t="s">
        <v>188</v>
      </c>
      <c r="C2" t="s">
        <v>54</v>
      </c>
      <c r="D2" s="1" t="s">
        <v>211</v>
      </c>
    </row>
    <row r="3" spans="1:4">
      <c r="A3" t="s">
        <v>209</v>
      </c>
      <c r="B3">
        <v>1</v>
      </c>
      <c r="C3" s="1">
        <v>200</v>
      </c>
      <c r="D3" s="1">
        <f>Table5[[#This Row],[Quantity]]*Table5[[#This Row],[Cost]]</f>
        <v>200</v>
      </c>
    </row>
    <row r="4" spans="1:4">
      <c r="A4" t="s">
        <v>210</v>
      </c>
      <c r="B4">
        <v>5</v>
      </c>
      <c r="C4" s="124">
        <v>20</v>
      </c>
      <c r="D4" s="1">
        <f>Table5[[#This Row],[Quantity]]*Table5[[#This Row],[Cost]]</f>
        <v>100</v>
      </c>
    </row>
    <row r="5" spans="1:4">
      <c r="A5" t="s">
        <v>212</v>
      </c>
      <c r="B5">
        <v>5</v>
      </c>
      <c r="C5" s="124">
        <v>100</v>
      </c>
      <c r="D5" s="1">
        <f>Table5[[#This Row],[Quantity]]*Table5[[#This Row],[Cost]]</f>
        <v>500</v>
      </c>
    </row>
    <row r="6" spans="1:4">
      <c r="A6" t="s">
        <v>213</v>
      </c>
      <c r="B6">
        <v>5</v>
      </c>
      <c r="C6" s="124">
        <v>500</v>
      </c>
      <c r="D6" s="1">
        <f>Table5[[#This Row],[Quantity]]*Table5[[#This Row],[Cost]]</f>
        <v>2500</v>
      </c>
    </row>
    <row r="7" spans="1:4">
      <c r="A7" t="s">
        <v>214</v>
      </c>
      <c r="B7">
        <v>1</v>
      </c>
      <c r="C7" s="124">
        <v>100</v>
      </c>
      <c r="D7" s="1">
        <f>Table5[[#This Row],[Quantity]]*Table5[[#This Row],[Cost]]</f>
        <v>100</v>
      </c>
    </row>
    <row r="8" spans="1:4">
      <c r="A8" t="s">
        <v>215</v>
      </c>
      <c r="B8">
        <v>1</v>
      </c>
      <c r="C8" s="124">
        <v>1000</v>
      </c>
      <c r="D8" s="1">
        <f>Table5[[#This Row],[Quantity]]*Table5[[#This Row],[Cost]]</f>
        <v>1000</v>
      </c>
    </row>
    <row r="9" spans="1:4">
      <c r="A9" t="s">
        <v>216</v>
      </c>
      <c r="B9">
        <v>1</v>
      </c>
      <c r="C9" s="124">
        <v>1000</v>
      </c>
      <c r="D9" s="1">
        <f>Table5[[#This Row],[Quantity]]*Table5[[#This Row],[Cost]]</f>
        <v>1000</v>
      </c>
    </row>
    <row r="10" spans="1:4">
      <c r="A10" t="s">
        <v>180</v>
      </c>
      <c r="C10" s="125"/>
      <c r="D10" s="81">
        <f>SUBTOTAL(109,[Total Cost])</f>
        <v>5400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>
  <dimension ref="A1:D7"/>
  <sheetViews>
    <sheetView zoomScale="198" zoomScaleNormal="198" workbookViewId="0">
      <selection activeCell="A6" sqref="A6"/>
    </sheetView>
  </sheetViews>
  <sheetFormatPr defaultRowHeight="15.75"/>
  <cols>
    <col min="1" max="2" width="11.25" customWidth="1"/>
    <col min="3" max="3" width="11.625" bestFit="1" customWidth="1"/>
    <col min="4" max="4" width="16" bestFit="1" customWidth="1"/>
  </cols>
  <sheetData>
    <row r="1" spans="1:4" ht="23.25">
      <c r="A1" s="162" t="s">
        <v>217</v>
      </c>
      <c r="B1" s="162"/>
      <c r="C1" s="162"/>
      <c r="D1" s="162"/>
    </row>
    <row r="2" spans="1:4">
      <c r="A2" t="s">
        <v>218</v>
      </c>
      <c r="B2" t="s">
        <v>188</v>
      </c>
      <c r="C2" t="s">
        <v>219</v>
      </c>
      <c r="D2" t="s">
        <v>220</v>
      </c>
    </row>
    <row r="3" spans="1:4">
      <c r="A3" t="s">
        <v>221</v>
      </c>
      <c r="B3">
        <v>3</v>
      </c>
      <c r="C3" s="1">
        <v>45000</v>
      </c>
      <c r="D3" s="1">
        <f>(C3/12)*[Quantity]</f>
        <v>11250</v>
      </c>
    </row>
    <row r="4" spans="1:4">
      <c r="A4" t="s">
        <v>222</v>
      </c>
      <c r="B4">
        <v>1</v>
      </c>
      <c r="C4" s="124">
        <v>25000</v>
      </c>
      <c r="D4" s="124">
        <f>(C4/12)*[Quantity]</f>
        <v>2083.3333333333335</v>
      </c>
    </row>
    <row r="5" spans="1:4">
      <c r="A5" t="s">
        <v>224</v>
      </c>
      <c r="B5">
        <v>2</v>
      </c>
      <c r="C5" s="124">
        <v>40000</v>
      </c>
      <c r="D5" s="124">
        <f>(C5/12)*[Quantity]</f>
        <v>6666.666666666667</v>
      </c>
    </row>
    <row r="6" spans="1:4">
      <c r="A6" t="s">
        <v>223</v>
      </c>
      <c r="B6">
        <v>1</v>
      </c>
      <c r="C6" s="124">
        <v>30000</v>
      </c>
      <c r="D6" s="124">
        <f>(C6/12)*[Quantity]</f>
        <v>2500</v>
      </c>
    </row>
    <row r="7" spans="1:4">
      <c r="A7" t="s">
        <v>180</v>
      </c>
      <c r="C7" s="126"/>
      <c r="D7" s="125">
        <f>SUBTOTAL(109,[Monthly Cost])</f>
        <v>22500</v>
      </c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D25"/>
  <sheetViews>
    <sheetView workbookViewId="0">
      <selection activeCell="K5" sqref="K5"/>
    </sheetView>
  </sheetViews>
  <sheetFormatPr defaultRowHeight="15.75"/>
  <cols>
    <col min="1" max="1" width="11.5" customWidth="1"/>
    <col min="2" max="3" width="12.25" bestFit="1" customWidth="1"/>
    <col min="4" max="4" width="21.5" customWidth="1"/>
  </cols>
  <sheetData>
    <row r="1" spans="1:4">
      <c r="A1" t="s">
        <v>226</v>
      </c>
      <c r="B1" t="s">
        <v>227</v>
      </c>
      <c r="C1" t="s">
        <v>228</v>
      </c>
      <c r="D1" t="s">
        <v>229</v>
      </c>
    </row>
    <row r="2" spans="1:4">
      <c r="A2" s="128">
        <v>43496</v>
      </c>
      <c r="B2" s="129">
        <v>550000</v>
      </c>
    </row>
    <row r="3" spans="1:4">
      <c r="A3" s="128">
        <v>43524</v>
      </c>
      <c r="B3" s="129">
        <v>546000</v>
      </c>
    </row>
    <row r="4" spans="1:4">
      <c r="A4" s="128">
        <v>43555</v>
      </c>
      <c r="B4" s="129">
        <v>547000</v>
      </c>
    </row>
    <row r="5" spans="1:4">
      <c r="A5" s="128">
        <v>43585</v>
      </c>
      <c r="B5" s="129">
        <v>550000</v>
      </c>
    </row>
    <row r="6" spans="1:4">
      <c r="A6" s="128">
        <v>43616</v>
      </c>
      <c r="B6" s="129">
        <v>551000</v>
      </c>
    </row>
    <row r="7" spans="1:4">
      <c r="A7" s="128">
        <v>43646</v>
      </c>
      <c r="B7" s="129">
        <v>549000</v>
      </c>
    </row>
    <row r="8" spans="1:4">
      <c r="A8" s="128">
        <v>43677</v>
      </c>
      <c r="B8" s="129">
        <v>548000</v>
      </c>
    </row>
    <row r="9" spans="1:4">
      <c r="A9" s="128">
        <v>43708</v>
      </c>
      <c r="B9" s="129">
        <v>547000</v>
      </c>
    </row>
    <row r="10" spans="1:4">
      <c r="A10" s="128">
        <v>43738</v>
      </c>
      <c r="B10" s="129">
        <v>552000</v>
      </c>
    </row>
    <row r="11" spans="1:4">
      <c r="A11" s="128">
        <v>43769</v>
      </c>
      <c r="B11" s="129">
        <v>553000</v>
      </c>
    </row>
    <row r="12" spans="1:4">
      <c r="A12" s="128">
        <v>43799</v>
      </c>
      <c r="B12" s="129">
        <v>545000</v>
      </c>
    </row>
    <row r="13" spans="1:4">
      <c r="A13" s="128">
        <v>43830</v>
      </c>
      <c r="B13" s="129">
        <v>549000</v>
      </c>
    </row>
    <row r="14" spans="1:4">
      <c r="A14" s="128">
        <v>43861</v>
      </c>
      <c r="C14" s="129">
        <f t="shared" ref="C14:C25" si="0">_xlfn.FORECAST.ETS(A14,$B$2:$B$13,$A$2:$A$13,5,1)</f>
        <v>548003.82264725864</v>
      </c>
      <c r="D14" s="129">
        <f t="shared" ref="D14:D25" si="1">_xlfn.FORECAST.ETS.CONFINT(A14,$B$2:$B$13,$A$2:$A$13,0.99,5,1)</f>
        <v>4776.3169694771013</v>
      </c>
    </row>
    <row r="15" spans="1:4">
      <c r="A15" s="128">
        <v>43892</v>
      </c>
      <c r="C15" s="129">
        <f t="shared" si="0"/>
        <v>551961.56934770627</v>
      </c>
      <c r="D15" s="129">
        <f t="shared" si="1"/>
        <v>4814.6815010850769</v>
      </c>
    </row>
    <row r="16" spans="1:4">
      <c r="A16" s="128">
        <v>43921</v>
      </c>
      <c r="C16" s="129">
        <f t="shared" si="0"/>
        <v>552250.61444572511</v>
      </c>
      <c r="D16" s="129">
        <f t="shared" si="1"/>
        <v>4853.3420946636315</v>
      </c>
    </row>
    <row r="17" spans="1:4">
      <c r="A17" s="128">
        <v>43952</v>
      </c>
      <c r="C17" s="129">
        <f t="shared" si="0"/>
        <v>550222.07530027092</v>
      </c>
      <c r="D17" s="129">
        <f t="shared" si="1"/>
        <v>4892.296394552548</v>
      </c>
    </row>
    <row r="18" spans="1:4">
      <c r="A18" s="128">
        <v>43982</v>
      </c>
      <c r="C18" s="129">
        <f t="shared" si="0"/>
        <v>548285.06829817861</v>
      </c>
      <c r="D18" s="129">
        <f t="shared" si="1"/>
        <v>4931.5420667629032</v>
      </c>
    </row>
    <row r="19" spans="1:4">
      <c r="A19" s="128">
        <v>44013</v>
      </c>
      <c r="C19" s="129">
        <f t="shared" si="0"/>
        <v>548490.90907209006</v>
      </c>
      <c r="D19" s="129">
        <f t="shared" si="1"/>
        <v>4971.6802410392283</v>
      </c>
    </row>
    <row r="20" spans="1:4">
      <c r="A20" s="128">
        <v>44043</v>
      </c>
      <c r="C20" s="129">
        <f t="shared" si="0"/>
        <v>552448.65577253758</v>
      </c>
      <c r="D20" s="129">
        <f t="shared" si="1"/>
        <v>5011.4969502163349</v>
      </c>
    </row>
    <row r="21" spans="1:4">
      <c r="A21" s="128">
        <v>44074</v>
      </c>
      <c r="C21" s="129">
        <f t="shared" si="0"/>
        <v>552737.70087055652</v>
      </c>
      <c r="D21" s="129">
        <f t="shared" si="1"/>
        <v>5051.598206896555</v>
      </c>
    </row>
    <row r="22" spans="1:4">
      <c r="A22" s="128">
        <v>44105</v>
      </c>
      <c r="C22" s="129">
        <f t="shared" si="0"/>
        <v>550709.16172510223</v>
      </c>
      <c r="D22" s="129">
        <f t="shared" si="1"/>
        <v>5091.9817685480848</v>
      </c>
    </row>
    <row r="23" spans="1:4">
      <c r="A23" s="128">
        <v>44135</v>
      </c>
      <c r="C23" s="129">
        <f t="shared" si="0"/>
        <v>548772.15472301003</v>
      </c>
      <c r="D23" s="129">
        <f t="shared" si="1"/>
        <v>5132.6454163863636</v>
      </c>
    </row>
    <row r="24" spans="1:4">
      <c r="A24" s="128">
        <v>44166</v>
      </c>
      <c r="C24" s="129">
        <f t="shared" si="0"/>
        <v>548977.99549692136</v>
      </c>
      <c r="D24" s="129">
        <f t="shared" si="1"/>
        <v>5174.1888245734881</v>
      </c>
    </row>
    <row r="25" spans="1:4">
      <c r="A25" s="128">
        <v>44196</v>
      </c>
      <c r="C25" s="129">
        <f t="shared" si="0"/>
        <v>552935.74219736899</v>
      </c>
      <c r="D25" s="129">
        <f t="shared" si="1"/>
        <v>5215.4013282134292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O42"/>
  <sheetViews>
    <sheetView zoomScale="98" zoomScaleNormal="98" zoomScalePageLayoutView="98" workbookViewId="0">
      <pane xSplit="13" ySplit="3" topLeftCell="AH19" activePane="bottomRight" state="frozen"/>
      <selection activeCell="H4" sqref="H4"/>
      <selection pane="topRight" activeCell="H4" sqref="H4"/>
      <selection pane="bottomLeft" activeCell="H4" sqref="H4"/>
      <selection pane="bottomRight" activeCell="H16" sqref="H16"/>
    </sheetView>
  </sheetViews>
  <sheetFormatPr defaultColWidth="8.875" defaultRowHeight="15.75"/>
  <cols>
    <col min="1" max="1" width="2" style="17" customWidth="1"/>
    <col min="2" max="2" width="43.875" style="17" customWidth="1"/>
    <col min="3" max="14" width="13.625" style="22" customWidth="1"/>
    <col min="15" max="15" width="0" hidden="1" customWidth="1"/>
  </cols>
  <sheetData>
    <row r="1" spans="1:15" ht="81" customHeight="1">
      <c r="A1" s="143" t="s">
        <v>93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5" ht="24.75" customHeight="1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</row>
    <row r="3" spans="1:15">
      <c r="C3" s="18" t="s">
        <v>61</v>
      </c>
      <c r="D3" s="18" t="s">
        <v>62</v>
      </c>
      <c r="E3" s="18" t="s">
        <v>63</v>
      </c>
      <c r="F3" s="18" t="s">
        <v>64</v>
      </c>
      <c r="G3" s="18" t="s">
        <v>65</v>
      </c>
      <c r="H3" s="18" t="s">
        <v>66</v>
      </c>
      <c r="I3" s="18" t="s">
        <v>67</v>
      </c>
      <c r="J3" s="18" t="s">
        <v>68</v>
      </c>
      <c r="K3" s="18" t="s">
        <v>69</v>
      </c>
      <c r="L3" s="18" t="s">
        <v>70</v>
      </c>
      <c r="M3" s="18" t="s">
        <v>71</v>
      </c>
      <c r="N3" s="18" t="s">
        <v>72</v>
      </c>
    </row>
    <row r="4" spans="1:15">
      <c r="B4" s="91" t="s">
        <v>78</v>
      </c>
      <c r="C4" s="92">
        <v>0</v>
      </c>
      <c r="D4" s="92">
        <f>C42</f>
        <v>-800</v>
      </c>
      <c r="E4" s="92">
        <f t="shared" ref="E4:N4" si="0">D42</f>
        <v>-800</v>
      </c>
      <c r="F4" s="92">
        <f t="shared" si="0"/>
        <v>-800</v>
      </c>
      <c r="G4" s="92">
        <f t="shared" si="0"/>
        <v>-800</v>
      </c>
      <c r="H4" s="92">
        <f t="shared" si="0"/>
        <v>-800</v>
      </c>
      <c r="I4" s="92">
        <f t="shared" si="0"/>
        <v>-800</v>
      </c>
      <c r="J4" s="92">
        <f t="shared" si="0"/>
        <v>-800</v>
      </c>
      <c r="K4" s="92">
        <f t="shared" si="0"/>
        <v>-800</v>
      </c>
      <c r="L4" s="92">
        <f t="shared" si="0"/>
        <v>-800</v>
      </c>
      <c r="M4" s="92">
        <f t="shared" si="0"/>
        <v>-800</v>
      </c>
      <c r="N4" s="92">
        <f t="shared" si="0"/>
        <v>-800</v>
      </c>
    </row>
    <row r="6" spans="1:15">
      <c r="B6" s="30" t="s">
        <v>74</v>
      </c>
      <c r="C6" s="24">
        <f>ABS(SUMIFS(Transactions!$D:$D,Transactions!$I:$I,Classifications!B$49,Transactions!$H:$H,$B6))</f>
        <v>0</v>
      </c>
      <c r="D6" s="24">
        <f>ABS(SUMIFS(Transactions!$D:$D,Transactions!$I:$I,Classifications!C$49,Transactions!$H:$H,$B6))</f>
        <v>0</v>
      </c>
      <c r="E6" s="24">
        <f>ABS(SUMIFS(Transactions!$D:$D,Transactions!$I:$I,Classifications!D$49,Transactions!$H:$H,$B6))</f>
        <v>0</v>
      </c>
      <c r="F6" s="24">
        <f>ABS(SUMIFS(Transactions!$D:$D,Transactions!$I:$I,Classifications!E$49,Transactions!$H:$H,$B6))</f>
        <v>0</v>
      </c>
      <c r="G6" s="24">
        <f>ABS(SUMIFS(Transactions!$D:$D,Transactions!$I:$I,Classifications!F$49,Transactions!$H:$H,$B6))</f>
        <v>0</v>
      </c>
      <c r="H6" s="24">
        <f>ABS(SUMIFS(Transactions!$D:$D,Transactions!$I:$I,Classifications!G$49,Transactions!$H:$H,$B6))</f>
        <v>0</v>
      </c>
      <c r="I6" s="24">
        <f>ABS(SUMIFS(Transactions!$D:$D,Transactions!$I:$I,Classifications!H$49,Transactions!$H:$H,$B6))</f>
        <v>0</v>
      </c>
      <c r="J6" s="24">
        <f>ABS(SUMIFS(Transactions!$D:$D,Transactions!$I:$I,Classifications!I$49,Transactions!$H:$H,$B6))</f>
        <v>0</v>
      </c>
      <c r="K6" s="24">
        <f>ABS(SUMIFS(Transactions!$D:$D,Transactions!$I:$I,Classifications!J$49,Transactions!$H:$H,$B6))</f>
        <v>0</v>
      </c>
      <c r="L6" s="24">
        <f>ABS(SUMIFS(Transactions!$D:$D,Transactions!$I:$I,Classifications!K$49,Transactions!$H:$H,$B6))</f>
        <v>0</v>
      </c>
      <c r="M6" s="24">
        <f>ABS(SUMIFS(Transactions!$D:$D,Transactions!$I:$I,Classifications!L$49,Transactions!$H:$H,$B6))</f>
        <v>0</v>
      </c>
      <c r="N6" s="24">
        <f>ABS(SUMIFS(Transactions!$D:$D,Transactions!$I:$I,Classifications!M$49,Transactions!$H:$H,$B6))</f>
        <v>0</v>
      </c>
    </row>
    <row r="7" spans="1:15">
      <c r="B7" s="30" t="s">
        <v>73</v>
      </c>
      <c r="C7" s="24">
        <f>ABS(SUMIFS(Transactions!$E:$E,Transactions!$I:$I,Classifications!B$49,Transactions!$H:$H,$B7))</f>
        <v>0</v>
      </c>
      <c r="D7" s="24">
        <f>ABS(SUMIFS(Transactions!$E:$E,Transactions!$I:$I,Classifications!C$49,Transactions!$H:$H,$B7))</f>
        <v>0</v>
      </c>
      <c r="E7" s="24">
        <f>ABS(SUMIFS(Transactions!$E:$E,Transactions!$I:$I,Classifications!D$49,Transactions!$H:$H,$B7))</f>
        <v>0</v>
      </c>
      <c r="F7" s="24">
        <f>ABS(SUMIFS(Transactions!$E:$E,Transactions!$I:$I,Classifications!E$49,Transactions!$H:$H,$B7))</f>
        <v>0</v>
      </c>
      <c r="G7" s="24">
        <f>ABS(SUMIFS(Transactions!$E:$E,Transactions!$I:$I,Classifications!F$49,Transactions!$H:$H,$B7))</f>
        <v>0</v>
      </c>
      <c r="H7" s="24">
        <f>ABS(SUMIFS(Transactions!$E:$E,Transactions!$I:$I,Classifications!G$49,Transactions!$H:$H,$B7))</f>
        <v>0</v>
      </c>
      <c r="I7" s="24">
        <f>ABS(SUMIFS(Transactions!$E:$E,Transactions!$I:$I,Classifications!H$49,Transactions!$H:$H,$B7))</f>
        <v>0</v>
      </c>
      <c r="J7" s="24">
        <f>ABS(SUMIFS(Transactions!$E:$E,Transactions!$I:$I,Classifications!I$49,Transactions!$H:$H,$B7))</f>
        <v>0</v>
      </c>
      <c r="K7" s="24">
        <f>ABS(SUMIFS(Transactions!$E:$E,Transactions!$I:$I,Classifications!J$49,Transactions!$H:$H,$B7))</f>
        <v>0</v>
      </c>
      <c r="L7" s="24">
        <f>ABS(SUMIFS(Transactions!$E:$E,Transactions!$I:$I,Classifications!K$49,Transactions!$H:$H,$B7))</f>
        <v>0</v>
      </c>
      <c r="M7" s="24">
        <f>ABS(SUMIFS(Transactions!$E:$E,Transactions!$I:$I,Classifications!L$49,Transactions!$H:$H,$B7))</f>
        <v>0</v>
      </c>
      <c r="N7" s="24">
        <f>ABS(SUMIFS(Transactions!$E:$E,Transactions!$I:$I,Classifications!M$49,Transactions!$H:$H,$B7))</f>
        <v>0</v>
      </c>
    </row>
    <row r="8" spans="1:15">
      <c r="B8" s="95" t="s">
        <v>75</v>
      </c>
      <c r="C8" s="96">
        <f>C6-C7</f>
        <v>0</v>
      </c>
      <c r="D8" s="96">
        <f t="shared" ref="D8:N8" si="1">D6-D7</f>
        <v>0</v>
      </c>
      <c r="E8" s="96">
        <f t="shared" si="1"/>
        <v>0</v>
      </c>
      <c r="F8" s="96">
        <f t="shared" si="1"/>
        <v>0</v>
      </c>
      <c r="G8" s="96">
        <f t="shared" si="1"/>
        <v>0</v>
      </c>
      <c r="H8" s="96">
        <f t="shared" si="1"/>
        <v>0</v>
      </c>
      <c r="I8" s="96">
        <f t="shared" si="1"/>
        <v>0</v>
      </c>
      <c r="J8" s="96">
        <f t="shared" si="1"/>
        <v>0</v>
      </c>
      <c r="K8" s="96">
        <f t="shared" si="1"/>
        <v>0</v>
      </c>
      <c r="L8" s="96">
        <f t="shared" si="1"/>
        <v>0</v>
      </c>
      <c r="M8" s="96">
        <f t="shared" si="1"/>
        <v>0</v>
      </c>
      <c r="N8" s="96">
        <f t="shared" si="1"/>
        <v>0</v>
      </c>
      <c r="O8" s="81">
        <f>SUM(C8:N8)</f>
        <v>0</v>
      </c>
    </row>
    <row r="9" spans="1:15">
      <c r="O9" s="81"/>
    </row>
    <row r="10" spans="1:15">
      <c r="B10" s="20" t="s">
        <v>4</v>
      </c>
      <c r="C10" s="19">
        <f>ABS(SUMIFS(Transactions!$E:$E,Transactions!$I:$I,Classifications!B$49,Transactions!$H:$H,$B10))</f>
        <v>0</v>
      </c>
      <c r="D10" s="19">
        <f>ABS(SUMIFS(Transactions!$E:$E,Transactions!$I:$I,Classifications!C$49,Transactions!$H:$H,$B10))</f>
        <v>0</v>
      </c>
      <c r="E10" s="19">
        <f>ABS(SUMIFS(Transactions!$E:$E,Transactions!$I:$I,Classifications!D$49,Transactions!$H:$H,$B10))</f>
        <v>0</v>
      </c>
      <c r="F10" s="19">
        <f>ABS(SUMIFS(Transactions!$E:$E,Transactions!$I:$I,Classifications!E$49,Transactions!$H:$H,$B10))</f>
        <v>0</v>
      </c>
      <c r="G10" s="19">
        <f>ABS(SUMIFS(Transactions!$E:$E,Transactions!$I:$I,Classifications!F$49,Transactions!$H:$H,$B10))</f>
        <v>0</v>
      </c>
      <c r="H10" s="19">
        <f>ABS(SUMIFS(Transactions!$E:$E,Transactions!$I:$I,Classifications!G$49,Transactions!$H:$H,$B10))</f>
        <v>0</v>
      </c>
      <c r="I10" s="19">
        <f>ABS(SUMIFS(Transactions!$E:$E,Transactions!$I:$I,Classifications!H$49,Transactions!$H:$H,$B10))</f>
        <v>0</v>
      </c>
      <c r="J10" s="19">
        <f>ABS(SUMIFS(Transactions!$E:$E,Transactions!$I:$I,Classifications!I$49,Transactions!$H:$H,$B10))</f>
        <v>0</v>
      </c>
      <c r="K10" s="19">
        <f>ABS(SUMIFS(Transactions!$E:$E,Transactions!$I:$I,Classifications!J$49,Transactions!$H:$H,$B10))</f>
        <v>0</v>
      </c>
      <c r="L10" s="19">
        <f>ABS(SUMIFS(Transactions!$E:$E,Transactions!$I:$I,Classifications!K$49,Transactions!$H:$H,$B10))</f>
        <v>0</v>
      </c>
      <c r="M10" s="19">
        <f>ABS(SUMIFS(Transactions!$E:$E,Transactions!$I:$I,Classifications!L$49,Transactions!$H:$H,$B10))</f>
        <v>0</v>
      </c>
      <c r="N10" s="19">
        <f>ABS(SUMIFS(Transactions!$E:$E,Transactions!$I:$I,Classifications!M$49,Transactions!$H:$H,$B10))</f>
        <v>0</v>
      </c>
      <c r="O10" s="81">
        <f t="shared" ref="O10:O39" si="2">SUM(C10:N10)</f>
        <v>0</v>
      </c>
    </row>
    <row r="11" spans="1:15">
      <c r="B11" s="20" t="s">
        <v>17</v>
      </c>
      <c r="C11" s="19">
        <f>ABS(SUMIFS(Transactions!$E:$E,Transactions!$I:$I,Classifications!B$49,Transactions!$H:$H,$B11))</f>
        <v>0</v>
      </c>
      <c r="D11" s="19">
        <f>ABS(SUMIFS(Transactions!$E:$E,Transactions!$I:$I,Classifications!C$49,Transactions!$H:$H,$B11))</f>
        <v>0</v>
      </c>
      <c r="E11" s="19">
        <f>ABS(SUMIFS(Transactions!$E:$E,Transactions!$I:$I,Classifications!D$49,Transactions!$H:$H,$B11))</f>
        <v>0</v>
      </c>
      <c r="F11" s="19">
        <f>ABS(SUMIFS(Transactions!$E:$E,Transactions!$I:$I,Classifications!E$49,Transactions!$H:$H,$B11))</f>
        <v>0</v>
      </c>
      <c r="G11" s="19">
        <f>ABS(SUMIFS(Transactions!$E:$E,Transactions!$I:$I,Classifications!F$49,Transactions!$H:$H,$B11))</f>
        <v>0</v>
      </c>
      <c r="H11" s="19">
        <f>ABS(SUMIFS(Transactions!$E:$E,Transactions!$I:$I,Classifications!G$49,Transactions!$H:$H,$B11))</f>
        <v>0</v>
      </c>
      <c r="I11" s="19">
        <f>ABS(SUMIFS(Transactions!$E:$E,Transactions!$I:$I,Classifications!H$49,Transactions!$H:$H,$B11))</f>
        <v>0</v>
      </c>
      <c r="J11" s="19">
        <f>ABS(SUMIFS(Transactions!$E:$E,Transactions!$I:$I,Classifications!I$49,Transactions!$H:$H,$B11))</f>
        <v>0</v>
      </c>
      <c r="K11" s="19">
        <f>ABS(SUMIFS(Transactions!$E:$E,Transactions!$I:$I,Classifications!J$49,Transactions!$H:$H,$B11))</f>
        <v>0</v>
      </c>
      <c r="L11" s="19">
        <f>ABS(SUMIFS(Transactions!$E:$E,Transactions!$I:$I,Classifications!K$49,Transactions!$H:$H,$B11))</f>
        <v>0</v>
      </c>
      <c r="M11" s="19">
        <f>ABS(SUMIFS(Transactions!$E:$E,Transactions!$I:$I,Classifications!L$49,Transactions!$H:$H,$B11))</f>
        <v>0</v>
      </c>
      <c r="N11" s="19">
        <f>ABS(SUMIFS(Transactions!$E:$E,Transactions!$I:$I,Classifications!M$49,Transactions!$H:$H,$B11))</f>
        <v>0</v>
      </c>
      <c r="O11" s="81">
        <f t="shared" si="2"/>
        <v>0</v>
      </c>
    </row>
    <row r="12" spans="1:15">
      <c r="B12" s="20" t="s">
        <v>18</v>
      </c>
      <c r="C12" s="19">
        <f>ABS(SUMIFS(Transactions!$E:$E,Transactions!$I:$I,Classifications!B$49,Transactions!$H:$H,$B12))</f>
        <v>0</v>
      </c>
      <c r="D12" s="19">
        <f>ABS(SUMIFS(Transactions!$E:$E,Transactions!$I:$I,Classifications!C$49,Transactions!$H:$H,$B12))</f>
        <v>0</v>
      </c>
      <c r="E12" s="19">
        <f>ABS(SUMIFS(Transactions!$E:$E,Transactions!$I:$I,Classifications!D$49,Transactions!$H:$H,$B12))</f>
        <v>0</v>
      </c>
      <c r="F12" s="19">
        <f>ABS(SUMIFS(Transactions!$E:$E,Transactions!$I:$I,Classifications!E$49,Transactions!$H:$H,$B12))</f>
        <v>0</v>
      </c>
      <c r="G12" s="19">
        <f>ABS(SUMIFS(Transactions!$E:$E,Transactions!$I:$I,Classifications!F$49,Transactions!$H:$H,$B12))</f>
        <v>0</v>
      </c>
      <c r="H12" s="19">
        <f>ABS(SUMIFS(Transactions!$E:$E,Transactions!$I:$I,Classifications!G$49,Transactions!$H:$H,$B12))</f>
        <v>0</v>
      </c>
      <c r="I12" s="19">
        <f>ABS(SUMIFS(Transactions!$E:$E,Transactions!$I:$I,Classifications!H$49,Transactions!$H:$H,$B12))</f>
        <v>0</v>
      </c>
      <c r="J12" s="19">
        <f>ABS(SUMIFS(Transactions!$E:$E,Transactions!$I:$I,Classifications!I$49,Transactions!$H:$H,$B12))</f>
        <v>0</v>
      </c>
      <c r="K12" s="19">
        <f>ABS(SUMIFS(Transactions!$E:$E,Transactions!$I:$I,Classifications!J$49,Transactions!$H:$H,$B12))</f>
        <v>0</v>
      </c>
      <c r="L12" s="19">
        <f>ABS(SUMIFS(Transactions!$E:$E,Transactions!$I:$I,Classifications!K$49,Transactions!$H:$H,$B12))</f>
        <v>0</v>
      </c>
      <c r="M12" s="19">
        <f>ABS(SUMIFS(Transactions!$E:$E,Transactions!$I:$I,Classifications!L$49,Transactions!$H:$H,$B12))</f>
        <v>0</v>
      </c>
      <c r="N12" s="19">
        <f>ABS(SUMIFS(Transactions!$E:$E,Transactions!$I:$I,Classifications!M$49,Transactions!$H:$H,$B12))</f>
        <v>0</v>
      </c>
      <c r="O12" s="81">
        <f t="shared" si="2"/>
        <v>0</v>
      </c>
    </row>
    <row r="13" spans="1:15">
      <c r="B13" s="20" t="s">
        <v>2</v>
      </c>
      <c r="C13" s="19">
        <f>ABS(SUMIFS(Transactions!$E:$E,Transactions!$I:$I,Classifications!B$49,Transactions!$H:$H,$B13))</f>
        <v>0</v>
      </c>
      <c r="D13" s="19">
        <f>ABS(SUMIFS(Transactions!$E:$E,Transactions!$I:$I,Classifications!C$49,Transactions!$H:$H,$B13))</f>
        <v>0</v>
      </c>
      <c r="E13" s="19">
        <f>ABS(SUMIFS(Transactions!$E:$E,Transactions!$I:$I,Classifications!D$49,Transactions!$H:$H,$B13))</f>
        <v>0</v>
      </c>
      <c r="F13" s="19">
        <f>ABS(SUMIFS(Transactions!$E:$E,Transactions!$I:$I,Classifications!E$49,Transactions!$H:$H,$B13))</f>
        <v>0</v>
      </c>
      <c r="G13" s="19">
        <f>ABS(SUMIFS(Transactions!$E:$E,Transactions!$I:$I,Classifications!F$49,Transactions!$H:$H,$B13))</f>
        <v>0</v>
      </c>
      <c r="H13" s="19">
        <f>ABS(SUMIFS(Transactions!$E:$E,Transactions!$I:$I,Classifications!G$49,Transactions!$H:$H,$B13))</f>
        <v>0</v>
      </c>
      <c r="I13" s="19">
        <f>ABS(SUMIFS(Transactions!$E:$E,Transactions!$I:$I,Classifications!H$49,Transactions!$H:$H,$B13))</f>
        <v>0</v>
      </c>
      <c r="J13" s="19">
        <f>ABS(SUMIFS(Transactions!$E:$E,Transactions!$I:$I,Classifications!I$49,Transactions!$H:$H,$B13))</f>
        <v>0</v>
      </c>
      <c r="K13" s="19">
        <f>ABS(SUMIFS(Transactions!$E:$E,Transactions!$I:$I,Classifications!J$49,Transactions!$H:$H,$B13))</f>
        <v>0</v>
      </c>
      <c r="L13" s="19">
        <f>ABS(SUMIFS(Transactions!$E:$E,Transactions!$I:$I,Classifications!K$49,Transactions!$H:$H,$B13))</f>
        <v>0</v>
      </c>
      <c r="M13" s="19">
        <f>ABS(SUMIFS(Transactions!$E:$E,Transactions!$I:$I,Classifications!L$49,Transactions!$H:$H,$B13))</f>
        <v>0</v>
      </c>
      <c r="N13" s="19">
        <f>ABS(SUMIFS(Transactions!$E:$E,Transactions!$I:$I,Classifications!M$49,Transactions!$H:$H,$B13))</f>
        <v>0</v>
      </c>
      <c r="O13" s="81">
        <f t="shared" si="2"/>
        <v>0</v>
      </c>
    </row>
    <row r="14" spans="1:15">
      <c r="B14" s="20" t="s">
        <v>19</v>
      </c>
      <c r="C14" s="19">
        <f>ABS(SUMIFS(Transactions!$E:$E,Transactions!$I:$I,Classifications!B$49,Transactions!$H:$H,$B14))</f>
        <v>0</v>
      </c>
      <c r="D14" s="19">
        <f>ABS(SUMIFS(Transactions!$E:$E,Transactions!$I:$I,Classifications!C$49,Transactions!$H:$H,$B14))</f>
        <v>0</v>
      </c>
      <c r="E14" s="19">
        <f>ABS(SUMIFS(Transactions!$E:$E,Transactions!$I:$I,Classifications!D$49,Transactions!$H:$H,$B14))</f>
        <v>0</v>
      </c>
      <c r="F14" s="19">
        <f>ABS(SUMIFS(Transactions!$E:$E,Transactions!$I:$I,Classifications!E$49,Transactions!$H:$H,$B14))</f>
        <v>0</v>
      </c>
      <c r="G14" s="19">
        <f>ABS(SUMIFS(Transactions!$E:$E,Transactions!$I:$I,Classifications!F$49,Transactions!$H:$H,$B14))</f>
        <v>0</v>
      </c>
      <c r="H14" s="19">
        <f>ABS(SUMIFS(Transactions!$E:$E,Transactions!$I:$I,Classifications!G$49,Transactions!$H:$H,$B14))</f>
        <v>0</v>
      </c>
      <c r="I14" s="19">
        <f>ABS(SUMIFS(Transactions!$E:$E,Transactions!$I:$I,Classifications!H$49,Transactions!$H:$H,$B14))</f>
        <v>0</v>
      </c>
      <c r="J14" s="19">
        <f>ABS(SUMIFS(Transactions!$E:$E,Transactions!$I:$I,Classifications!I$49,Transactions!$H:$H,$B14))</f>
        <v>0</v>
      </c>
      <c r="K14" s="19">
        <f>ABS(SUMIFS(Transactions!$E:$E,Transactions!$I:$I,Classifications!J$49,Transactions!$H:$H,$B14))</f>
        <v>0</v>
      </c>
      <c r="L14" s="19">
        <f>ABS(SUMIFS(Transactions!$E:$E,Transactions!$I:$I,Classifications!K$49,Transactions!$H:$H,$B14))</f>
        <v>0</v>
      </c>
      <c r="M14" s="19">
        <f>ABS(SUMIFS(Transactions!$E:$E,Transactions!$I:$I,Classifications!L$49,Transactions!$H:$H,$B14))</f>
        <v>0</v>
      </c>
      <c r="N14" s="19">
        <f>ABS(SUMIFS(Transactions!$E:$E,Transactions!$I:$I,Classifications!M$49,Transactions!$H:$H,$B14))</f>
        <v>0</v>
      </c>
      <c r="O14" s="81">
        <f t="shared" si="2"/>
        <v>0</v>
      </c>
    </row>
    <row r="15" spans="1:15">
      <c r="B15" s="20" t="s">
        <v>21</v>
      </c>
      <c r="C15" s="19">
        <f>ABS(SUMIFS(Transactions!$E:$E,Transactions!$I:$I,Classifications!B$49,Transactions!$H:$H,$B15))</f>
        <v>0</v>
      </c>
      <c r="D15" s="19">
        <f>ABS(SUMIFS(Transactions!$E:$E,Transactions!$I:$I,Classifications!C$49,Transactions!$H:$H,$B15))</f>
        <v>0</v>
      </c>
      <c r="E15" s="19">
        <f>ABS(SUMIFS(Transactions!$E:$E,Transactions!$I:$I,Classifications!D$49,Transactions!$H:$H,$B15))</f>
        <v>0</v>
      </c>
      <c r="F15" s="19">
        <f>ABS(SUMIFS(Transactions!$E:$E,Transactions!$I:$I,Classifications!E$49,Transactions!$H:$H,$B15))</f>
        <v>0</v>
      </c>
      <c r="G15" s="19">
        <f>ABS(SUMIFS(Transactions!$E:$E,Transactions!$I:$I,Classifications!F$49,Transactions!$H:$H,$B15))</f>
        <v>0</v>
      </c>
      <c r="H15" s="19">
        <f>ABS(SUMIFS(Transactions!$E:$E,Transactions!$I:$I,Classifications!G$49,Transactions!$H:$H,$B15))</f>
        <v>0</v>
      </c>
      <c r="I15" s="19">
        <f>ABS(SUMIFS(Transactions!$E:$E,Transactions!$I:$I,Classifications!H$49,Transactions!$H:$H,$B15))</f>
        <v>0</v>
      </c>
      <c r="J15" s="19">
        <f>ABS(SUMIFS(Transactions!$E:$E,Transactions!$I:$I,Classifications!I$49,Transactions!$H:$H,$B15))</f>
        <v>0</v>
      </c>
      <c r="K15" s="19">
        <f>ABS(SUMIFS(Transactions!$E:$E,Transactions!$I:$I,Classifications!J$49,Transactions!$H:$H,$B15))</f>
        <v>0</v>
      </c>
      <c r="L15" s="19">
        <f>ABS(SUMIFS(Transactions!$E:$E,Transactions!$I:$I,Classifications!K$49,Transactions!$H:$H,$B15))</f>
        <v>0</v>
      </c>
      <c r="M15" s="19">
        <f>ABS(SUMIFS(Transactions!$E:$E,Transactions!$I:$I,Classifications!L$49,Transactions!$H:$H,$B15))</f>
        <v>0</v>
      </c>
      <c r="N15" s="19">
        <f>ABS(SUMIFS(Transactions!$E:$E,Transactions!$I:$I,Classifications!M$49,Transactions!$H:$H,$B15))</f>
        <v>0</v>
      </c>
      <c r="O15" s="81">
        <f t="shared" si="2"/>
        <v>0</v>
      </c>
    </row>
    <row r="16" spans="1:15">
      <c r="B16" s="20" t="s">
        <v>22</v>
      </c>
      <c r="C16" s="19">
        <f>ABS(SUMIFS(Transactions!$E:$E,Transactions!$I:$I,Classifications!B$49,Transactions!$H:$H,$B16))</f>
        <v>0</v>
      </c>
      <c r="D16" s="19">
        <f>ABS(SUMIFS(Transactions!$E:$E,Transactions!$I:$I,Classifications!C$49,Transactions!$H:$H,$B16))</f>
        <v>0</v>
      </c>
      <c r="E16" s="19">
        <f>ABS(SUMIFS(Transactions!$E:$E,Transactions!$I:$I,Classifications!D$49,Transactions!$H:$H,$B16))</f>
        <v>0</v>
      </c>
      <c r="F16" s="19">
        <f>ABS(SUMIFS(Transactions!$E:$E,Transactions!$I:$I,Classifications!E$49,Transactions!$H:$H,$B16))</f>
        <v>0</v>
      </c>
      <c r="G16" s="19">
        <f>ABS(SUMIFS(Transactions!$E:$E,Transactions!$I:$I,Classifications!F$49,Transactions!$H:$H,$B16))</f>
        <v>0</v>
      </c>
      <c r="H16" s="19">
        <f>ABS(SUMIFS(Transactions!$E:$E,Transactions!$I:$I,Classifications!G$49,Transactions!$H:$H,$B16))</f>
        <v>0</v>
      </c>
      <c r="I16" s="19">
        <f>ABS(SUMIFS(Transactions!$E:$E,Transactions!$I:$I,Classifications!H$49,Transactions!$H:$H,$B16))</f>
        <v>0</v>
      </c>
      <c r="J16" s="19">
        <f>ABS(SUMIFS(Transactions!$E:$E,Transactions!$I:$I,Classifications!I$49,Transactions!$H:$H,$B16))</f>
        <v>0</v>
      </c>
      <c r="K16" s="19">
        <f>ABS(SUMIFS(Transactions!$E:$E,Transactions!$I:$I,Classifications!J$49,Transactions!$H:$H,$B16))</f>
        <v>0</v>
      </c>
      <c r="L16" s="19">
        <f>ABS(SUMIFS(Transactions!$E:$E,Transactions!$I:$I,Classifications!K$49,Transactions!$H:$H,$B16))</f>
        <v>0</v>
      </c>
      <c r="M16" s="19">
        <f>ABS(SUMIFS(Transactions!$E:$E,Transactions!$I:$I,Classifications!L$49,Transactions!$H:$H,$B16))</f>
        <v>0</v>
      </c>
      <c r="N16" s="19">
        <f>ABS(SUMIFS(Transactions!$E:$E,Transactions!$I:$I,Classifications!M$49,Transactions!$H:$H,$B16))</f>
        <v>0</v>
      </c>
      <c r="O16" s="81">
        <f t="shared" si="2"/>
        <v>0</v>
      </c>
    </row>
    <row r="17" spans="2:15">
      <c r="B17" s="21" t="s">
        <v>134</v>
      </c>
      <c r="C17" s="19">
        <f>ABS(SUMIFS(Transactions!$E:$E,Transactions!$I:$I,Classifications!B$49,Transactions!$H:$H,"*mortgage*"))</f>
        <v>0</v>
      </c>
      <c r="D17" s="19">
        <f>ABS(SUMIFS(Transactions!$E:$E,Transactions!$I:$I,Classifications!C$49,Transactions!$H:$H,"*mortgage*"))</f>
        <v>0</v>
      </c>
      <c r="E17" s="19">
        <f>ABS(SUMIFS(Transactions!$E:$E,Transactions!$I:$I,Classifications!D$49,Transactions!$H:$H,"*mortgage*"))</f>
        <v>0</v>
      </c>
      <c r="F17" s="19">
        <f>ABS(SUMIFS(Transactions!$E:$E,Transactions!$I:$I,Classifications!E$49,Transactions!$H:$H,"*mortgage*"))</f>
        <v>0</v>
      </c>
      <c r="G17" s="19">
        <f>ABS(SUMIFS(Transactions!$E:$E,Transactions!$I:$I,Classifications!F$49,Transactions!$H:$H,"*mortgage*"))</f>
        <v>0</v>
      </c>
      <c r="H17" s="19">
        <f>ABS(SUMIFS(Transactions!$E:$E,Transactions!$I:$I,Classifications!G$49,Transactions!$H:$H,"*mortgage*"))</f>
        <v>0</v>
      </c>
      <c r="I17" s="19">
        <f>ABS(SUMIFS(Transactions!$E:$E,Transactions!$I:$I,Classifications!H$49,Transactions!$H:$H,"*mortgage*"))</f>
        <v>0</v>
      </c>
      <c r="J17" s="19">
        <f>ABS(SUMIFS(Transactions!$E:$E,Transactions!$I:$I,Classifications!I$49,Transactions!$H:$H,"*mortgage*"))</f>
        <v>0</v>
      </c>
      <c r="K17" s="19">
        <f>ABS(SUMIFS(Transactions!$E:$E,Transactions!$I:$I,Classifications!J$49,Transactions!$H:$H,"*mortgage*"))</f>
        <v>0</v>
      </c>
      <c r="L17" s="19">
        <f>ABS(SUMIFS(Transactions!$E:$E,Transactions!$I:$I,Classifications!K$49,Transactions!$H:$H,"*mortgage*"))</f>
        <v>0</v>
      </c>
      <c r="M17" s="19">
        <f>ABS(SUMIFS(Transactions!$E:$E,Transactions!$I:$I,Classifications!L$49,Transactions!$H:$H,"*mortgage*"))</f>
        <v>0</v>
      </c>
      <c r="N17" s="19">
        <f>ABS(SUMIFS(Transactions!$E:$E,Transactions!$I:$I,Classifications!M$49,Transactions!$H:$H,"*mortgage*"))</f>
        <v>0</v>
      </c>
      <c r="O17" s="81">
        <f t="shared" si="2"/>
        <v>0</v>
      </c>
    </row>
    <row r="18" spans="2:15">
      <c r="B18" s="21" t="s">
        <v>135</v>
      </c>
      <c r="C18" s="19">
        <f>ABS(SUMIFS(Transactions!$E:$E,Transactions!$I:$I,Classifications!B$49,Transactions!$H:$H,$B18))</f>
        <v>0</v>
      </c>
      <c r="D18" s="19">
        <f>ABS(SUMIFS(Transactions!$E:$E,Transactions!$I:$I,Classifications!C$49,Transactions!$H:$H,$B18))</f>
        <v>0</v>
      </c>
      <c r="E18" s="19">
        <f>ABS(SUMIFS(Transactions!$E:$E,Transactions!$I:$I,Classifications!D$49,Transactions!$H:$H,$B18))</f>
        <v>0</v>
      </c>
      <c r="F18" s="19">
        <f>ABS(SUMIFS(Transactions!$E:$E,Transactions!$I:$I,Classifications!E$49,Transactions!$H:$H,$B18))</f>
        <v>0</v>
      </c>
      <c r="G18" s="19">
        <f>ABS(SUMIFS(Transactions!$E:$E,Transactions!$I:$I,Classifications!F$49,Transactions!$H:$H,$B18))</f>
        <v>0</v>
      </c>
      <c r="H18" s="19">
        <f>ABS(SUMIFS(Transactions!$E:$E,Transactions!$I:$I,Classifications!G$49,Transactions!$H:$H,$B18))</f>
        <v>0</v>
      </c>
      <c r="I18" s="19">
        <f>ABS(SUMIFS(Transactions!$E:$E,Transactions!$I:$I,Classifications!H$49,Transactions!$H:$H,$B18))</f>
        <v>0</v>
      </c>
      <c r="J18" s="19">
        <f>ABS(SUMIFS(Transactions!$E:$E,Transactions!$I:$I,Classifications!I$49,Transactions!$H:$H,$B18))</f>
        <v>0</v>
      </c>
      <c r="K18" s="19">
        <f>ABS(SUMIFS(Transactions!$E:$E,Transactions!$I:$I,Classifications!J$49,Transactions!$H:$H,$B18))</f>
        <v>0</v>
      </c>
      <c r="L18" s="19">
        <f>ABS(SUMIFS(Transactions!$E:$E,Transactions!$I:$I,Classifications!K$49,Transactions!$H:$H,$B18))</f>
        <v>0</v>
      </c>
      <c r="M18" s="19">
        <f>ABS(SUMIFS(Transactions!$E:$E,Transactions!$I:$I,Classifications!L$49,Transactions!$H:$H,$B18))</f>
        <v>0</v>
      </c>
      <c r="N18" s="19">
        <f>ABS(SUMIFS(Transactions!$E:$E,Transactions!$I:$I,Classifications!M$49,Transactions!$H:$H,$B18))</f>
        <v>0</v>
      </c>
      <c r="O18" s="81">
        <f t="shared" si="2"/>
        <v>0</v>
      </c>
    </row>
    <row r="19" spans="2:15">
      <c r="B19" s="20" t="s">
        <v>25</v>
      </c>
      <c r="C19" s="19">
        <f>ABS(SUMIFS(Transactions!$E:$E,Transactions!$I:$I,Classifications!B$49,Transactions!$H:$H,$B19))</f>
        <v>0</v>
      </c>
      <c r="D19" s="19">
        <f>ABS(SUMIFS(Transactions!$E:$E,Transactions!$I:$I,Classifications!C$49,Transactions!$H:$H,$B19))</f>
        <v>0</v>
      </c>
      <c r="E19" s="19">
        <f>ABS(SUMIFS(Transactions!$E:$E,Transactions!$I:$I,Classifications!D$49,Transactions!$H:$H,$B19))</f>
        <v>0</v>
      </c>
      <c r="F19" s="19">
        <f>ABS(SUMIFS(Transactions!$E:$E,Transactions!$I:$I,Classifications!E$49,Transactions!$H:$H,$B19))</f>
        <v>0</v>
      </c>
      <c r="G19" s="19">
        <f>ABS(SUMIFS(Transactions!$E:$E,Transactions!$I:$I,Classifications!F$49,Transactions!$H:$H,$B19))</f>
        <v>0</v>
      </c>
      <c r="H19" s="19">
        <f>ABS(SUMIFS(Transactions!$E:$E,Transactions!$I:$I,Classifications!G$49,Transactions!$H:$H,$B19))</f>
        <v>0</v>
      </c>
      <c r="I19" s="19">
        <f>ABS(SUMIFS(Transactions!$E:$E,Transactions!$I:$I,Classifications!H$49,Transactions!$H:$H,$B19))</f>
        <v>0</v>
      </c>
      <c r="J19" s="19">
        <f>ABS(SUMIFS(Transactions!$E:$E,Transactions!$I:$I,Classifications!I$49,Transactions!$H:$H,$B19))</f>
        <v>0</v>
      </c>
      <c r="K19" s="19">
        <f>ABS(SUMIFS(Transactions!$E:$E,Transactions!$I:$I,Classifications!J$49,Transactions!$H:$H,$B19))</f>
        <v>0</v>
      </c>
      <c r="L19" s="19">
        <f>ABS(SUMIFS(Transactions!$E:$E,Transactions!$I:$I,Classifications!K$49,Transactions!$H:$H,$B19))</f>
        <v>0</v>
      </c>
      <c r="M19" s="19">
        <f>ABS(SUMIFS(Transactions!$E:$E,Transactions!$I:$I,Classifications!L$49,Transactions!$H:$H,$B19))</f>
        <v>0</v>
      </c>
      <c r="N19" s="19">
        <f>ABS(SUMIFS(Transactions!$E:$E,Transactions!$I:$I,Classifications!M$49,Transactions!$H:$H,$B19))</f>
        <v>0</v>
      </c>
      <c r="O19" s="81">
        <f t="shared" si="2"/>
        <v>0</v>
      </c>
    </row>
    <row r="20" spans="2:15">
      <c r="B20" s="20" t="s">
        <v>26</v>
      </c>
      <c r="C20" s="19">
        <f>ABS(SUMIFS(Transactions!$E:$E,Transactions!$I:$I,Classifications!B$49,Transactions!$H:$H,$B20))</f>
        <v>0</v>
      </c>
      <c r="D20" s="19">
        <f>ABS(SUMIFS(Transactions!$E:$E,Transactions!$I:$I,Classifications!C$49,Transactions!$H:$H,$B20))</f>
        <v>0</v>
      </c>
      <c r="E20" s="19">
        <f>ABS(SUMIFS(Transactions!$E:$E,Transactions!$I:$I,Classifications!D$49,Transactions!$H:$H,$B20))</f>
        <v>0</v>
      </c>
      <c r="F20" s="19">
        <f>ABS(SUMIFS(Transactions!$E:$E,Transactions!$I:$I,Classifications!E$49,Transactions!$H:$H,$B20))</f>
        <v>0</v>
      </c>
      <c r="G20" s="19">
        <f>ABS(SUMIFS(Transactions!$E:$E,Transactions!$I:$I,Classifications!F$49,Transactions!$H:$H,$B20))</f>
        <v>0</v>
      </c>
      <c r="H20" s="19">
        <f>ABS(SUMIFS(Transactions!$E:$E,Transactions!$I:$I,Classifications!G$49,Transactions!$H:$H,$B20))</f>
        <v>0</v>
      </c>
      <c r="I20" s="19">
        <f>ABS(SUMIFS(Transactions!$E:$E,Transactions!$I:$I,Classifications!H$49,Transactions!$H:$H,$B20))</f>
        <v>0</v>
      </c>
      <c r="J20" s="19">
        <f>ABS(SUMIFS(Transactions!$E:$E,Transactions!$I:$I,Classifications!I$49,Transactions!$H:$H,$B20))</f>
        <v>0</v>
      </c>
      <c r="K20" s="19">
        <f>ABS(SUMIFS(Transactions!$E:$E,Transactions!$I:$I,Classifications!J$49,Transactions!$H:$H,$B20))</f>
        <v>0</v>
      </c>
      <c r="L20" s="19">
        <f>ABS(SUMIFS(Transactions!$E:$E,Transactions!$I:$I,Classifications!K$49,Transactions!$H:$H,$B20))</f>
        <v>0</v>
      </c>
      <c r="M20" s="19">
        <f>ABS(SUMIFS(Transactions!$E:$E,Transactions!$I:$I,Classifications!L$49,Transactions!$H:$H,$B20))</f>
        <v>0</v>
      </c>
      <c r="N20" s="19">
        <f>ABS(SUMIFS(Transactions!$E:$E,Transactions!$I:$I,Classifications!M$49,Transactions!$H:$H,$B20))</f>
        <v>0</v>
      </c>
      <c r="O20" s="81">
        <f t="shared" si="2"/>
        <v>0</v>
      </c>
    </row>
    <row r="21" spans="2:15">
      <c r="B21" s="20" t="s">
        <v>27</v>
      </c>
      <c r="C21" s="19">
        <f>ABS(SUMIFS(Transactions!$E:$E,Transactions!$I:$I,Classifications!B$49,Transactions!$H:$H,$B21))</f>
        <v>0</v>
      </c>
      <c r="D21" s="19">
        <f>ABS(SUMIFS(Transactions!$E:$E,Transactions!$I:$I,Classifications!C$49,Transactions!$H:$H,$B21))</f>
        <v>0</v>
      </c>
      <c r="E21" s="19">
        <f>ABS(SUMIFS(Transactions!$E:$E,Transactions!$I:$I,Classifications!D$49,Transactions!$H:$H,$B21))</f>
        <v>0</v>
      </c>
      <c r="F21" s="19">
        <f>ABS(SUMIFS(Transactions!$E:$E,Transactions!$I:$I,Classifications!E$49,Transactions!$H:$H,$B21))</f>
        <v>0</v>
      </c>
      <c r="G21" s="19">
        <f>ABS(SUMIFS(Transactions!$E:$E,Transactions!$I:$I,Classifications!F$49,Transactions!$H:$H,$B21))</f>
        <v>0</v>
      </c>
      <c r="H21" s="19">
        <f>ABS(SUMIFS(Transactions!$E:$E,Transactions!$I:$I,Classifications!G$49,Transactions!$H:$H,$B21))</f>
        <v>0</v>
      </c>
      <c r="I21" s="19">
        <f>ABS(SUMIFS(Transactions!$E:$E,Transactions!$I:$I,Classifications!H$49,Transactions!$H:$H,$B21))</f>
        <v>0</v>
      </c>
      <c r="J21" s="19">
        <f>ABS(SUMIFS(Transactions!$E:$E,Transactions!$I:$I,Classifications!I$49,Transactions!$H:$H,$B21))</f>
        <v>0</v>
      </c>
      <c r="K21" s="19">
        <f>ABS(SUMIFS(Transactions!$E:$E,Transactions!$I:$I,Classifications!J$49,Transactions!$H:$H,$B21))</f>
        <v>0</v>
      </c>
      <c r="L21" s="19">
        <f>ABS(SUMIFS(Transactions!$E:$E,Transactions!$I:$I,Classifications!K$49,Transactions!$H:$H,$B21))</f>
        <v>0</v>
      </c>
      <c r="M21" s="19">
        <f>ABS(SUMIFS(Transactions!$E:$E,Transactions!$I:$I,Classifications!L$49,Transactions!$H:$H,$B21))</f>
        <v>0</v>
      </c>
      <c r="N21" s="19">
        <f>ABS(SUMIFS(Transactions!$E:$E,Transactions!$I:$I,Classifications!M$49,Transactions!$H:$H,$B21))</f>
        <v>0</v>
      </c>
      <c r="O21" s="81">
        <f t="shared" si="2"/>
        <v>0</v>
      </c>
    </row>
    <row r="22" spans="2:15">
      <c r="B22" s="21" t="s">
        <v>136</v>
      </c>
      <c r="C22" s="19">
        <f>ABS(SUMIFS(Transactions!$E:$E,Transactions!$I:$I,Classifications!B$49,Transactions!$H:$H,$B22))</f>
        <v>0</v>
      </c>
      <c r="D22" s="19">
        <f>ABS(SUMIFS(Transactions!$E:$E,Transactions!$I:$I,Classifications!C$49,Transactions!$H:$H,$B22))</f>
        <v>0</v>
      </c>
      <c r="E22" s="19">
        <f>ABS(SUMIFS(Transactions!$E:$E,Transactions!$I:$I,Classifications!D$49,Transactions!$H:$H,$B22))</f>
        <v>0</v>
      </c>
      <c r="F22" s="19">
        <f>ABS(SUMIFS(Transactions!$E:$E,Transactions!$I:$I,Classifications!E$49,Transactions!$H:$H,$B22))</f>
        <v>0</v>
      </c>
      <c r="G22" s="19">
        <f>ABS(SUMIFS(Transactions!$E:$E,Transactions!$I:$I,Classifications!F$49,Transactions!$H:$H,$B22))</f>
        <v>0</v>
      </c>
      <c r="H22" s="19">
        <f>ABS(SUMIFS(Transactions!$E:$E,Transactions!$I:$I,Classifications!G$49,Transactions!$H:$H,$B22))</f>
        <v>0</v>
      </c>
      <c r="I22" s="19">
        <f>ABS(SUMIFS(Transactions!$E:$E,Transactions!$I:$I,Classifications!H$49,Transactions!$H:$H,$B22))</f>
        <v>0</v>
      </c>
      <c r="J22" s="19">
        <f>ABS(SUMIFS(Transactions!$E:$E,Transactions!$I:$I,Classifications!I$49,Transactions!$H:$H,$B22))</f>
        <v>0</v>
      </c>
      <c r="K22" s="19">
        <f>ABS(SUMIFS(Transactions!$E:$E,Transactions!$I:$I,Classifications!J$49,Transactions!$H:$H,$B22))</f>
        <v>0</v>
      </c>
      <c r="L22" s="19">
        <f>ABS(SUMIFS(Transactions!$E:$E,Transactions!$I:$I,Classifications!K$49,Transactions!$H:$H,$B22))</f>
        <v>0</v>
      </c>
      <c r="M22" s="19">
        <f>ABS(SUMIFS(Transactions!$E:$E,Transactions!$I:$I,Classifications!L$49,Transactions!$H:$H,$B22))</f>
        <v>0</v>
      </c>
      <c r="N22" s="19">
        <f>ABS(SUMIFS(Transactions!$E:$E,Transactions!$I:$I,Classifications!M$49,Transactions!$H:$H,$B22))</f>
        <v>0</v>
      </c>
      <c r="O22" s="81">
        <f t="shared" si="2"/>
        <v>0</v>
      </c>
    </row>
    <row r="23" spans="2:15">
      <c r="B23" s="21" t="s">
        <v>137</v>
      </c>
      <c r="C23" s="19">
        <f>ABS(SUMIFS(Transactions!$E:$E,Transactions!$I:$I,Classifications!B$49,Transactions!$H:$H,$B23))</f>
        <v>800</v>
      </c>
      <c r="D23" s="19">
        <f>ABS(SUMIFS(Transactions!$E:$E,Transactions!$I:$I,Classifications!C$49,Transactions!$H:$H,$B23))</f>
        <v>0</v>
      </c>
      <c r="E23" s="19">
        <f>ABS(SUMIFS(Transactions!$E:$E,Transactions!$I:$I,Classifications!D$49,Transactions!$H:$H,$B23))</f>
        <v>0</v>
      </c>
      <c r="F23" s="19">
        <f>ABS(SUMIFS(Transactions!$E:$E,Transactions!$I:$I,Classifications!E$49,Transactions!$H:$H,$B23))</f>
        <v>0</v>
      </c>
      <c r="G23" s="19">
        <f>ABS(SUMIFS(Transactions!$E:$E,Transactions!$I:$I,Classifications!F$49,Transactions!$H:$H,$B23))</f>
        <v>0</v>
      </c>
      <c r="H23" s="19">
        <f>ABS(SUMIFS(Transactions!$E:$E,Transactions!$I:$I,Classifications!G$49,Transactions!$H:$H,$B23))</f>
        <v>0</v>
      </c>
      <c r="I23" s="19">
        <f>ABS(SUMIFS(Transactions!$E:$E,Transactions!$I:$I,Classifications!H$49,Transactions!$H:$H,$B23))</f>
        <v>0</v>
      </c>
      <c r="J23" s="19">
        <f>ABS(SUMIFS(Transactions!$E:$E,Transactions!$I:$I,Classifications!I$49,Transactions!$H:$H,$B23))</f>
        <v>0</v>
      </c>
      <c r="K23" s="19">
        <f>ABS(SUMIFS(Transactions!$E:$E,Transactions!$I:$I,Classifications!J$49,Transactions!$H:$H,$B23))</f>
        <v>0</v>
      </c>
      <c r="L23" s="19">
        <f>ABS(SUMIFS(Transactions!$E:$E,Transactions!$I:$I,Classifications!K$49,Transactions!$H:$H,$B23))</f>
        <v>0</v>
      </c>
      <c r="M23" s="19">
        <f>ABS(SUMIFS(Transactions!$E:$E,Transactions!$I:$I,Classifications!L$49,Transactions!$H:$H,$B23))</f>
        <v>0</v>
      </c>
      <c r="N23" s="19">
        <f>ABS(SUMIFS(Transactions!$E:$E,Transactions!$I:$I,Classifications!M$49,Transactions!$H:$H,$B23))</f>
        <v>0</v>
      </c>
      <c r="O23" s="81">
        <f t="shared" si="2"/>
        <v>800</v>
      </c>
    </row>
    <row r="24" spans="2:15">
      <c r="B24" s="20" t="s">
        <v>31</v>
      </c>
      <c r="C24" s="19">
        <f>ABS(SUMIFS(Transactions!$E:$E,Transactions!$I:$I,Classifications!B$49,Transactions!$H:$H,$B24))</f>
        <v>0</v>
      </c>
      <c r="D24" s="19">
        <f>ABS(SUMIFS(Transactions!$E:$E,Transactions!$I:$I,Classifications!C$49,Transactions!$H:$H,$B24))</f>
        <v>0</v>
      </c>
      <c r="E24" s="19">
        <f>ABS(SUMIFS(Transactions!$E:$E,Transactions!$I:$I,Classifications!D$49,Transactions!$H:$H,$B24))</f>
        <v>0</v>
      </c>
      <c r="F24" s="19">
        <f>ABS(SUMIFS(Transactions!$E:$E,Transactions!$I:$I,Classifications!E$49,Transactions!$H:$H,$B24))</f>
        <v>0</v>
      </c>
      <c r="G24" s="19">
        <f>ABS(SUMIFS(Transactions!$E:$E,Transactions!$I:$I,Classifications!F$49,Transactions!$H:$H,$B24))</f>
        <v>0</v>
      </c>
      <c r="H24" s="19">
        <f>ABS(SUMIFS(Transactions!$E:$E,Transactions!$I:$I,Classifications!G$49,Transactions!$H:$H,$B24))</f>
        <v>0</v>
      </c>
      <c r="I24" s="19">
        <f>ABS(SUMIFS(Transactions!$E:$E,Transactions!$I:$I,Classifications!H$49,Transactions!$H:$H,$B24))</f>
        <v>0</v>
      </c>
      <c r="J24" s="19">
        <f>ABS(SUMIFS(Transactions!$E:$E,Transactions!$I:$I,Classifications!I$49,Transactions!$H:$H,$B24))</f>
        <v>0</v>
      </c>
      <c r="K24" s="19">
        <f>ABS(SUMIFS(Transactions!$E:$E,Transactions!$I:$I,Classifications!J$49,Transactions!$H:$H,$B24))</f>
        <v>0</v>
      </c>
      <c r="L24" s="19">
        <f>ABS(SUMIFS(Transactions!$E:$E,Transactions!$I:$I,Classifications!K$49,Transactions!$H:$H,$B24))</f>
        <v>0</v>
      </c>
      <c r="M24" s="19">
        <f>ABS(SUMIFS(Transactions!$E:$E,Transactions!$I:$I,Classifications!L$49,Transactions!$H:$H,$B24))</f>
        <v>0</v>
      </c>
      <c r="N24" s="19">
        <f>ABS(SUMIFS(Transactions!$E:$E,Transactions!$I:$I,Classifications!M$49,Transactions!$H:$H,$B24))</f>
        <v>0</v>
      </c>
      <c r="O24" s="81">
        <f t="shared" si="2"/>
        <v>0</v>
      </c>
    </row>
    <row r="25" spans="2:15">
      <c r="B25" s="20" t="s">
        <v>3</v>
      </c>
      <c r="C25" s="19">
        <f>ABS(SUMIFS(Transactions!$E:$E,Transactions!$I:$I,Classifications!B$49,Transactions!$H:$H,"*supplies*"))</f>
        <v>0</v>
      </c>
      <c r="D25" s="19">
        <f>ABS(SUMIFS(Transactions!$E:$E,Transactions!$I:$I,Classifications!C$49,Transactions!$H:$H,"*supplies*"))</f>
        <v>0</v>
      </c>
      <c r="E25" s="19">
        <f>ABS(SUMIFS(Transactions!$E:$E,Transactions!$I:$I,Classifications!D$49,Transactions!$H:$H,"*supplies*"))</f>
        <v>0</v>
      </c>
      <c r="F25" s="19">
        <f>ABS(SUMIFS(Transactions!$E:$E,Transactions!$I:$I,Classifications!E$49,Transactions!$H:$H,"*supplies*"))</f>
        <v>0</v>
      </c>
      <c r="G25" s="19">
        <f>ABS(SUMIFS(Transactions!$E:$E,Transactions!$I:$I,Classifications!F$49,Transactions!$H:$H,"*supplies*"))</f>
        <v>0</v>
      </c>
      <c r="H25" s="19">
        <f>ABS(SUMIFS(Transactions!$E:$E,Transactions!$I:$I,Classifications!G$49,Transactions!$H:$H,"*supplies*"))</f>
        <v>0</v>
      </c>
      <c r="I25" s="19">
        <f>ABS(SUMIFS(Transactions!$E:$E,Transactions!$I:$I,Classifications!H$49,Transactions!$H:$H,"*supplies*"))</f>
        <v>0</v>
      </c>
      <c r="J25" s="19">
        <f>ABS(SUMIFS(Transactions!$E:$E,Transactions!$I:$I,Classifications!I$49,Transactions!$H:$H,"*supplies*"))</f>
        <v>0</v>
      </c>
      <c r="K25" s="19">
        <f>ABS(SUMIFS(Transactions!$E:$E,Transactions!$I:$I,Classifications!J$49,Transactions!$H:$H,"*supplies*"))</f>
        <v>0</v>
      </c>
      <c r="L25" s="19">
        <f>ABS(SUMIFS(Transactions!$E:$E,Transactions!$I:$I,Classifications!K$49,Transactions!$H:$H,"*supplies*"))</f>
        <v>0</v>
      </c>
      <c r="M25" s="19">
        <f>ABS(SUMIFS(Transactions!$E:$E,Transactions!$I:$I,Classifications!L$49,Transactions!$H:$H,"*supplies*"))</f>
        <v>0</v>
      </c>
      <c r="N25" s="19">
        <f>ABS(SUMIFS(Transactions!$E:$E,Transactions!$I:$I,Classifications!M$49,Transactions!$H:$H,"*supplies*"))</f>
        <v>0</v>
      </c>
      <c r="O25" s="81">
        <f t="shared" si="2"/>
        <v>0</v>
      </c>
    </row>
    <row r="26" spans="2:15">
      <c r="B26" s="20" t="s">
        <v>7</v>
      </c>
      <c r="C26" s="19">
        <f>ABS(SUMIFS(Transactions!$E:$E,Transactions!$I:$I,Classifications!B$49,Transactions!$H:$H,$B26))</f>
        <v>0</v>
      </c>
      <c r="D26" s="19">
        <f>ABS(SUMIFS(Transactions!$E:$E,Transactions!$I:$I,Classifications!C$49,Transactions!$H:$H,$B26))</f>
        <v>0</v>
      </c>
      <c r="E26" s="19">
        <f>ABS(SUMIFS(Transactions!$E:$E,Transactions!$I:$I,Classifications!D$49,Transactions!$H:$H,$B26))</f>
        <v>0</v>
      </c>
      <c r="F26" s="19">
        <f>ABS(SUMIFS(Transactions!$E:$E,Transactions!$I:$I,Classifications!E$49,Transactions!$H:$H,$B26))</f>
        <v>0</v>
      </c>
      <c r="G26" s="19">
        <f>ABS(SUMIFS(Transactions!$E:$E,Transactions!$I:$I,Classifications!F$49,Transactions!$H:$H,$B26))</f>
        <v>0</v>
      </c>
      <c r="H26" s="19">
        <f>ABS(SUMIFS(Transactions!$E:$E,Transactions!$I:$I,Classifications!G$49,Transactions!$H:$H,$B26))</f>
        <v>0</v>
      </c>
      <c r="I26" s="19">
        <f>ABS(SUMIFS(Transactions!$E:$E,Transactions!$I:$I,Classifications!H$49,Transactions!$H:$H,$B26))</f>
        <v>0</v>
      </c>
      <c r="J26" s="19">
        <f>ABS(SUMIFS(Transactions!$E:$E,Transactions!$I:$I,Classifications!I$49,Transactions!$H:$H,$B26))</f>
        <v>0</v>
      </c>
      <c r="K26" s="19">
        <f>ABS(SUMIFS(Transactions!$E:$E,Transactions!$I:$I,Classifications!J$49,Transactions!$H:$H,$B26))</f>
        <v>0</v>
      </c>
      <c r="L26" s="19">
        <f>ABS(SUMIFS(Transactions!$E:$E,Transactions!$I:$I,Classifications!K$49,Transactions!$H:$H,$B26))</f>
        <v>0</v>
      </c>
      <c r="M26" s="19">
        <f>ABS(SUMIFS(Transactions!$E:$E,Transactions!$I:$I,Classifications!L$49,Transactions!$H:$H,$B26))</f>
        <v>0</v>
      </c>
      <c r="N26" s="19">
        <f>ABS(SUMIFS(Transactions!$E:$E,Transactions!$I:$I,Classifications!M$49,Transactions!$H:$H,$B26))</f>
        <v>0</v>
      </c>
      <c r="O26" s="81">
        <f t="shared" si="2"/>
        <v>0</v>
      </c>
    </row>
    <row r="27" spans="2:15">
      <c r="B27" s="21" t="s">
        <v>32</v>
      </c>
      <c r="C27" s="19">
        <f>ABS(SUMIFS(Transactions!$E:$E,Transactions!$I:$I,Classifications!B$49,Transactions!$H:$H,$B27))</f>
        <v>0</v>
      </c>
      <c r="D27" s="19">
        <f>ABS(SUMIFS(Transactions!$E:$E,Transactions!$I:$I,Classifications!C$49,Transactions!$H:$H,$B27))</f>
        <v>0</v>
      </c>
      <c r="E27" s="19">
        <f>ABS(SUMIFS(Transactions!$E:$E,Transactions!$I:$I,Classifications!D$49,Transactions!$H:$H,$B27))</f>
        <v>0</v>
      </c>
      <c r="F27" s="19">
        <f>ABS(SUMIFS(Transactions!$E:$E,Transactions!$I:$I,Classifications!E$49,Transactions!$H:$H,$B27))</f>
        <v>0</v>
      </c>
      <c r="G27" s="19">
        <f>ABS(SUMIFS(Transactions!$E:$E,Transactions!$I:$I,Classifications!F$49,Transactions!$H:$H,$B27))</f>
        <v>0</v>
      </c>
      <c r="H27" s="19">
        <f>ABS(SUMIFS(Transactions!$E:$E,Transactions!$I:$I,Classifications!G$49,Transactions!$H:$H,$B27))</f>
        <v>0</v>
      </c>
      <c r="I27" s="19">
        <f>ABS(SUMIFS(Transactions!$E:$E,Transactions!$I:$I,Classifications!H$49,Transactions!$H:$H,$B27))</f>
        <v>0</v>
      </c>
      <c r="J27" s="19">
        <f>ABS(SUMIFS(Transactions!$E:$E,Transactions!$I:$I,Classifications!I$49,Transactions!$H:$H,$B27))</f>
        <v>0</v>
      </c>
      <c r="K27" s="19">
        <f>ABS(SUMIFS(Transactions!$E:$E,Transactions!$I:$I,Classifications!J$49,Transactions!$H:$H,$B27))</f>
        <v>0</v>
      </c>
      <c r="L27" s="19">
        <f>ABS(SUMIFS(Transactions!$E:$E,Transactions!$I:$I,Classifications!K$49,Transactions!$H:$H,$B27))</f>
        <v>0</v>
      </c>
      <c r="M27" s="19">
        <f>ABS(SUMIFS(Transactions!$E:$E,Transactions!$I:$I,Classifications!L$49,Transactions!$H:$H,$B27))</f>
        <v>0</v>
      </c>
      <c r="N27" s="19">
        <f>ABS(SUMIFS(Transactions!$E:$E,Transactions!$I:$I,Classifications!M$49,Transactions!$H:$H,$B27))</f>
        <v>0</v>
      </c>
      <c r="O27" s="81">
        <f t="shared" si="2"/>
        <v>0</v>
      </c>
    </row>
    <row r="28" spans="2:15">
      <c r="B28" s="21" t="s">
        <v>128</v>
      </c>
      <c r="C28" s="19">
        <f>ABS(SUMIFS(Transactions!$E:$E,Transactions!$I:$I,Classifications!B$49,Transactions!$H:$H,$B28))</f>
        <v>0</v>
      </c>
      <c r="D28" s="19">
        <f>ABS(SUMIFS(Transactions!$E:$E,Transactions!$I:$I,Classifications!C$49,Transactions!$H:$H,$B28))</f>
        <v>0</v>
      </c>
      <c r="E28" s="19">
        <f>ABS(SUMIFS(Transactions!$E:$E,Transactions!$I:$I,Classifications!D$49,Transactions!$H:$H,$B28))</f>
        <v>0</v>
      </c>
      <c r="F28" s="19">
        <f>ABS(SUMIFS(Transactions!$E:$E,Transactions!$I:$I,Classifications!E$49,Transactions!$H:$H,$B28))</f>
        <v>0</v>
      </c>
      <c r="G28" s="19">
        <f>ABS(SUMIFS(Transactions!$E:$E,Transactions!$I:$I,Classifications!F$49,Transactions!$H:$H,$B28))</f>
        <v>0</v>
      </c>
      <c r="H28" s="19">
        <f>ABS(SUMIFS(Transactions!$E:$E,Transactions!$I:$I,Classifications!G$49,Transactions!$H:$H,$B28))</f>
        <v>0</v>
      </c>
      <c r="I28" s="19">
        <f>ABS(SUMIFS(Transactions!$E:$E,Transactions!$I:$I,Classifications!H$49,Transactions!$H:$H,$B28))</f>
        <v>0</v>
      </c>
      <c r="J28" s="19">
        <f>ABS(SUMIFS(Transactions!$E:$E,Transactions!$I:$I,Classifications!I$49,Transactions!$H:$H,$B28))</f>
        <v>0</v>
      </c>
      <c r="K28" s="19">
        <f>ABS(SUMIFS(Transactions!$E:$E,Transactions!$I:$I,Classifications!J$49,Transactions!$H:$H,$B28))</f>
        <v>0</v>
      </c>
      <c r="L28" s="19">
        <f>ABS(SUMIFS(Transactions!$E:$E,Transactions!$I:$I,Classifications!K$49,Transactions!$H:$H,$B28))</f>
        <v>0</v>
      </c>
      <c r="M28" s="19">
        <f>ABS(SUMIFS(Transactions!$E:$E,Transactions!$I:$I,Classifications!L$49,Transactions!$H:$H,$B28))</f>
        <v>0</v>
      </c>
      <c r="N28" s="19">
        <f>ABS(SUMIFS(Transactions!$E:$E,Transactions!$I:$I,Classifications!M$49,Transactions!$H:$H,$B28))</f>
        <v>0</v>
      </c>
      <c r="O28" s="81">
        <f t="shared" si="2"/>
        <v>0</v>
      </c>
    </row>
    <row r="29" spans="2:15">
      <c r="B29" s="20" t="s">
        <v>34</v>
      </c>
      <c r="C29" s="19">
        <f>ABS(SUMIFS(Transactions!$E:$E,Transactions!$I:$I,Classifications!B$49,Transactions!$H:$H,$B29))</f>
        <v>0</v>
      </c>
      <c r="D29" s="19">
        <f>ABS(SUMIFS(Transactions!$E:$E,Transactions!$I:$I,Classifications!C$49,Transactions!$H:$H,$B29))</f>
        <v>0</v>
      </c>
      <c r="E29" s="19">
        <f>ABS(SUMIFS(Transactions!$E:$E,Transactions!$I:$I,Classifications!D$49,Transactions!$H:$H,$B29))</f>
        <v>0</v>
      </c>
      <c r="F29" s="19">
        <f>ABS(SUMIFS(Transactions!$E:$E,Transactions!$I:$I,Classifications!E$49,Transactions!$H:$H,$B29))</f>
        <v>0</v>
      </c>
      <c r="G29" s="19">
        <f>ABS(SUMIFS(Transactions!$E:$E,Transactions!$I:$I,Classifications!F$49,Transactions!$H:$H,$B29))</f>
        <v>0</v>
      </c>
      <c r="H29" s="19">
        <f>ABS(SUMIFS(Transactions!$E:$E,Transactions!$I:$I,Classifications!G$49,Transactions!$H:$H,$B29))</f>
        <v>0</v>
      </c>
      <c r="I29" s="19">
        <f>ABS(SUMIFS(Transactions!$E:$E,Transactions!$I:$I,Classifications!H$49,Transactions!$H:$H,$B29))</f>
        <v>0</v>
      </c>
      <c r="J29" s="19">
        <f>ABS(SUMIFS(Transactions!$E:$E,Transactions!$I:$I,Classifications!I$49,Transactions!$H:$H,$B29))</f>
        <v>0</v>
      </c>
      <c r="K29" s="19">
        <f>ABS(SUMIFS(Transactions!$E:$E,Transactions!$I:$I,Classifications!J$49,Transactions!$H:$H,$B29))</f>
        <v>0</v>
      </c>
      <c r="L29" s="19">
        <f>ABS(SUMIFS(Transactions!$E:$E,Transactions!$I:$I,Classifications!K$49,Transactions!$H:$H,$B29))</f>
        <v>0</v>
      </c>
      <c r="M29" s="19">
        <f>ABS(SUMIFS(Transactions!$E:$E,Transactions!$I:$I,Classifications!L$49,Transactions!$H:$H,$B29))</f>
        <v>0</v>
      </c>
      <c r="N29" s="19">
        <f>ABS(SUMIFS(Transactions!$E:$E,Transactions!$I:$I,Classifications!M$49,Transactions!$H:$H,$B29))</f>
        <v>0</v>
      </c>
      <c r="O29" s="81">
        <f t="shared" si="2"/>
        <v>0</v>
      </c>
    </row>
    <row r="30" spans="2:15">
      <c r="B30" s="20" t="s">
        <v>133</v>
      </c>
      <c r="C30" s="19">
        <f>ABS(SUMIFS(Transactions!$E:$E,Transactions!$I:$I,Classifications!B$49,Transactions!$H:$H,$B30))</f>
        <v>0</v>
      </c>
      <c r="D30" s="19">
        <f>ABS(SUMIFS(Transactions!$E:$E,Transactions!$I:$I,Classifications!C$49,Transactions!$H:$H,$B30))</f>
        <v>0</v>
      </c>
      <c r="E30" s="19">
        <f>ABS(SUMIFS(Transactions!$E:$E,Transactions!$I:$I,Classifications!D$49,Transactions!$H:$H,$B30))</f>
        <v>0</v>
      </c>
      <c r="F30" s="19">
        <f>ABS(SUMIFS(Transactions!$E:$E,Transactions!$I:$I,Classifications!E$49,Transactions!$H:$H,$B30))</f>
        <v>0</v>
      </c>
      <c r="G30" s="19">
        <f>ABS(SUMIFS(Transactions!$E:$E,Transactions!$I:$I,Classifications!F$49,Transactions!$H:$H,$B30))</f>
        <v>0</v>
      </c>
      <c r="H30" s="19">
        <f>ABS(SUMIFS(Transactions!$E:$E,Transactions!$I:$I,Classifications!G$49,Transactions!$H:$H,$B30))</f>
        <v>0</v>
      </c>
      <c r="I30" s="19">
        <f>ABS(SUMIFS(Transactions!$E:$E,Transactions!$I:$I,Classifications!H$49,Transactions!$H:$H,$B30))</f>
        <v>0</v>
      </c>
      <c r="J30" s="19">
        <f>ABS(SUMIFS(Transactions!$E:$E,Transactions!$I:$I,Classifications!I$49,Transactions!$H:$H,$B30))</f>
        <v>0</v>
      </c>
      <c r="K30" s="19">
        <f>ABS(SUMIFS(Transactions!$E:$E,Transactions!$I:$I,Classifications!J$49,Transactions!$H:$H,$B30))</f>
        <v>0</v>
      </c>
      <c r="L30" s="19">
        <f>ABS(SUMIFS(Transactions!$E:$E,Transactions!$I:$I,Classifications!K$49,Transactions!$H:$H,$B30))</f>
        <v>0</v>
      </c>
      <c r="M30" s="19">
        <f>ABS(SUMIFS(Transactions!$E:$E,Transactions!$I:$I,Classifications!L$49,Transactions!$H:$H,$B30))</f>
        <v>0</v>
      </c>
      <c r="N30" s="19">
        <f>ABS(SUMIFS(Transactions!$E:$E,Transactions!$I:$I,Classifications!M$49,Transactions!$H:$H,$B30))</f>
        <v>0</v>
      </c>
      <c r="O30" s="81">
        <f t="shared" si="2"/>
        <v>0</v>
      </c>
    </row>
    <row r="31" spans="2:15">
      <c r="B31" s="20" t="s">
        <v>8</v>
      </c>
      <c r="C31" s="19">
        <f>ABS(SUMIFS(Transactions!$E:$E,Transactions!$I:$I,Classifications!B$49,Transactions!$H:$H,$B31))</f>
        <v>0</v>
      </c>
      <c r="D31" s="19">
        <f>ABS(SUMIFS(Transactions!$E:$E,Transactions!$I:$I,Classifications!C$49,Transactions!$H:$H,$B31))</f>
        <v>0</v>
      </c>
      <c r="E31" s="19">
        <f>ABS(SUMIFS(Transactions!$E:$E,Transactions!$I:$I,Classifications!D$49,Transactions!$H:$H,$B31))</f>
        <v>0</v>
      </c>
      <c r="F31" s="19">
        <f>ABS(SUMIFS(Transactions!$E:$E,Transactions!$I:$I,Classifications!E$49,Transactions!$H:$H,$B31))</f>
        <v>0</v>
      </c>
      <c r="G31" s="19">
        <f>ABS(SUMIFS(Transactions!$E:$E,Transactions!$I:$I,Classifications!F$49,Transactions!$H:$H,$B31))</f>
        <v>0</v>
      </c>
      <c r="H31" s="19">
        <f>ABS(SUMIFS(Transactions!$E:$E,Transactions!$I:$I,Classifications!G$49,Transactions!$H:$H,$B31))</f>
        <v>0</v>
      </c>
      <c r="I31" s="19">
        <f>ABS(SUMIFS(Transactions!$E:$E,Transactions!$I:$I,Classifications!H$49,Transactions!$H:$H,$B31))</f>
        <v>0</v>
      </c>
      <c r="J31" s="19">
        <f>ABS(SUMIFS(Transactions!$E:$E,Transactions!$I:$I,Classifications!I$49,Transactions!$H:$H,$B31))</f>
        <v>0</v>
      </c>
      <c r="K31" s="19">
        <f>ABS(SUMIFS(Transactions!$E:$E,Transactions!$I:$I,Classifications!J$49,Transactions!$H:$H,$B31))</f>
        <v>0</v>
      </c>
      <c r="L31" s="19">
        <f>ABS(SUMIFS(Transactions!$E:$E,Transactions!$I:$I,Classifications!K$49,Transactions!$H:$H,$B31))</f>
        <v>0</v>
      </c>
      <c r="M31" s="19">
        <f>ABS(SUMIFS(Transactions!$E:$E,Transactions!$I:$I,Classifications!L$49,Transactions!$H:$H,$B31))</f>
        <v>0</v>
      </c>
      <c r="N31" s="19">
        <f>ABS(SUMIFS(Transactions!$E:$E,Transactions!$I:$I,Classifications!M$49,Transactions!$H:$H,$B31))</f>
        <v>0</v>
      </c>
      <c r="O31" s="81">
        <f t="shared" si="2"/>
        <v>0</v>
      </c>
    </row>
    <row r="32" spans="2:15">
      <c r="B32" s="20" t="s">
        <v>35</v>
      </c>
      <c r="C32" s="19">
        <f>ABS(SUMIFS(Transactions!$E:$E,Transactions!$I:$I,Classifications!B$49,Transactions!$H:$H,$B32))</f>
        <v>0</v>
      </c>
      <c r="D32" s="19">
        <f>ABS(SUMIFS(Transactions!$E:$E,Transactions!$I:$I,Classifications!C$49,Transactions!$H:$H,$B32))</f>
        <v>0</v>
      </c>
      <c r="E32" s="19">
        <f>ABS(SUMIFS(Transactions!$E:$E,Transactions!$I:$I,Classifications!D$49,Transactions!$H:$H,$B32))</f>
        <v>0</v>
      </c>
      <c r="F32" s="19">
        <f>ABS(SUMIFS(Transactions!$E:$E,Transactions!$I:$I,Classifications!E$49,Transactions!$H:$H,$B32))</f>
        <v>0</v>
      </c>
      <c r="G32" s="19">
        <f>ABS(SUMIFS(Transactions!$E:$E,Transactions!$I:$I,Classifications!F$49,Transactions!$H:$H,$B32))</f>
        <v>0</v>
      </c>
      <c r="H32" s="19">
        <f>ABS(SUMIFS(Transactions!$E:$E,Transactions!$I:$I,Classifications!G$49,Transactions!$H:$H,$B32))</f>
        <v>0</v>
      </c>
      <c r="I32" s="19">
        <f>ABS(SUMIFS(Transactions!$E:$E,Transactions!$I:$I,Classifications!H$49,Transactions!$H:$H,$B32))</f>
        <v>0</v>
      </c>
      <c r="J32" s="19">
        <f>ABS(SUMIFS(Transactions!$E:$E,Transactions!$I:$I,Classifications!I$49,Transactions!$H:$H,$B32))</f>
        <v>0</v>
      </c>
      <c r="K32" s="19">
        <f>ABS(SUMIFS(Transactions!$E:$E,Transactions!$I:$I,Classifications!J$49,Transactions!$H:$H,$B32))</f>
        <v>0</v>
      </c>
      <c r="L32" s="19">
        <f>ABS(SUMIFS(Transactions!$E:$E,Transactions!$I:$I,Classifications!K$49,Transactions!$H:$H,$B32))</f>
        <v>0</v>
      </c>
      <c r="M32" s="19">
        <f>ABS(SUMIFS(Transactions!$E:$E,Transactions!$I:$I,Classifications!L$49,Transactions!$H:$H,$B32))</f>
        <v>0</v>
      </c>
      <c r="N32" s="19">
        <f>ABS(SUMIFS(Transactions!$E:$E,Transactions!$I:$I,Classifications!M$49,Transactions!$H:$H,$B32))</f>
        <v>0</v>
      </c>
      <c r="O32" s="81">
        <f t="shared" si="2"/>
        <v>0</v>
      </c>
    </row>
    <row r="33" spans="2:15">
      <c r="B33" s="93" t="s">
        <v>76</v>
      </c>
      <c r="C33" s="94">
        <f>SUM(C10:C32)</f>
        <v>800</v>
      </c>
      <c r="D33" s="94">
        <f t="shared" ref="D33:N33" si="3">SUM(D10:D32)</f>
        <v>0</v>
      </c>
      <c r="E33" s="94">
        <f t="shared" si="3"/>
        <v>0</v>
      </c>
      <c r="F33" s="94">
        <f t="shared" si="3"/>
        <v>0</v>
      </c>
      <c r="G33" s="94">
        <f t="shared" si="3"/>
        <v>0</v>
      </c>
      <c r="H33" s="94">
        <f t="shared" si="3"/>
        <v>0</v>
      </c>
      <c r="I33" s="94">
        <f t="shared" si="3"/>
        <v>0</v>
      </c>
      <c r="J33" s="94">
        <f t="shared" si="3"/>
        <v>0</v>
      </c>
      <c r="K33" s="94">
        <f t="shared" si="3"/>
        <v>0</v>
      </c>
      <c r="L33" s="94">
        <f t="shared" si="3"/>
        <v>0</v>
      </c>
      <c r="M33" s="94">
        <f t="shared" si="3"/>
        <v>0</v>
      </c>
      <c r="N33" s="94">
        <f t="shared" si="3"/>
        <v>0</v>
      </c>
      <c r="O33" s="81">
        <f t="shared" si="2"/>
        <v>800</v>
      </c>
    </row>
    <row r="34" spans="2:15">
      <c r="O34" s="81"/>
    </row>
    <row r="35" spans="2:15">
      <c r="B35" s="28" t="s">
        <v>39</v>
      </c>
      <c r="C35" s="40">
        <f t="shared" ref="C35:N35" si="4">C8-C33</f>
        <v>-800</v>
      </c>
      <c r="D35" s="40">
        <f t="shared" si="4"/>
        <v>0</v>
      </c>
      <c r="E35" s="40">
        <f t="shared" si="4"/>
        <v>0</v>
      </c>
      <c r="F35" s="40">
        <f t="shared" si="4"/>
        <v>0</v>
      </c>
      <c r="G35" s="40">
        <f t="shared" si="4"/>
        <v>0</v>
      </c>
      <c r="H35" s="40">
        <f t="shared" si="4"/>
        <v>0</v>
      </c>
      <c r="I35" s="40">
        <f t="shared" si="4"/>
        <v>0</v>
      </c>
      <c r="J35" s="40">
        <f t="shared" si="4"/>
        <v>0</v>
      </c>
      <c r="K35" s="40">
        <f t="shared" si="4"/>
        <v>0</v>
      </c>
      <c r="L35" s="40">
        <f t="shared" si="4"/>
        <v>0</v>
      </c>
      <c r="M35" s="40">
        <f t="shared" si="4"/>
        <v>0</v>
      </c>
      <c r="N35" s="40">
        <f t="shared" si="4"/>
        <v>0</v>
      </c>
      <c r="O35" s="81">
        <f t="shared" si="2"/>
        <v>-800</v>
      </c>
    </row>
    <row r="36" spans="2:15">
      <c r="B36" s="20" t="s">
        <v>100</v>
      </c>
      <c r="C36" s="19">
        <f>ABS(SUMIFS(Transactions!$E:$E,Transactions!$I:$I,Classifications!B$49,Transactions!$H:$H,"*depreciation*"))</f>
        <v>0</v>
      </c>
      <c r="D36" s="19">
        <f>ABS(SUMIFS(Transactions!$E:$E,Transactions!$I:$I,Classifications!C$49,Transactions!$H:$H,"*depreciation*"))</f>
        <v>0</v>
      </c>
      <c r="E36" s="19">
        <f>ABS(SUMIFS(Transactions!$E:$E,Transactions!$I:$I,Classifications!D$49,Transactions!$H:$H,"*depreciation*"))</f>
        <v>0</v>
      </c>
      <c r="F36" s="19">
        <f>ABS(SUMIFS(Transactions!$E:$E,Transactions!$I:$I,Classifications!E$49,Transactions!$H:$H,"*depreciation*"))</f>
        <v>0</v>
      </c>
      <c r="G36" s="19">
        <f>ABS(SUMIFS(Transactions!$E:$E,Transactions!$I:$I,Classifications!F$49,Transactions!$H:$H,"*depreciation*"))</f>
        <v>0</v>
      </c>
      <c r="H36" s="19">
        <f>ABS(SUMIFS(Transactions!$E:$E,Transactions!$I:$I,Classifications!G$49,Transactions!$H:$H,"*depreciation*"))</f>
        <v>0</v>
      </c>
      <c r="I36" s="19">
        <f>ABS(SUMIFS(Transactions!$E:$E,Transactions!$I:$I,Classifications!H$49,Transactions!$H:$H,"*depreciation*"))</f>
        <v>0</v>
      </c>
      <c r="J36" s="19">
        <f>ABS(SUMIFS(Transactions!$E:$E,Transactions!$I:$I,Classifications!I$49,Transactions!$H:$H,"*depreciation*"))</f>
        <v>0</v>
      </c>
      <c r="K36" s="19">
        <f>ABS(SUMIFS(Transactions!$E:$E,Transactions!$I:$I,Classifications!J$49,Transactions!$H:$H,"*depreciation*"))</f>
        <v>0</v>
      </c>
      <c r="L36" s="19">
        <f>ABS(SUMIFS(Transactions!$E:$E,Transactions!$I:$I,Classifications!K$49,Transactions!$H:$H,"*depreciation*"))</f>
        <v>0</v>
      </c>
      <c r="M36" s="19">
        <f>ABS(SUMIFS(Transactions!$E:$E,Transactions!$I:$I,Classifications!L$49,Transactions!$H:$H,"*depreciation*"))</f>
        <v>0</v>
      </c>
      <c r="N36" s="19">
        <f>ABS(SUMIFS(Transactions!$E:$E,Transactions!$I:$I,Classifications!M$49,Transactions!$H:$H,"*depreciation*"))</f>
        <v>0</v>
      </c>
      <c r="O36" s="81">
        <f t="shared" si="2"/>
        <v>0</v>
      </c>
    </row>
    <row r="37" spans="2:15">
      <c r="B37" s="20" t="s">
        <v>86</v>
      </c>
      <c r="C37" s="19">
        <f>ABS(SUMIFS(Transactions!$E:$E,Transactions!$I:$I,Classifications!B$49,Transactions!$H:$H,$B37))</f>
        <v>0</v>
      </c>
      <c r="D37" s="19">
        <f>ABS(SUMIFS(Transactions!$E:$E,Transactions!$I:$I,Classifications!C$49,Transactions!$H:$H,$B37))</f>
        <v>0</v>
      </c>
      <c r="E37" s="19">
        <f>ABS(SUMIFS(Transactions!$E:$E,Transactions!$I:$I,Classifications!D$49,Transactions!$H:$H,$B37))</f>
        <v>0</v>
      </c>
      <c r="F37" s="19">
        <f>ABS(SUMIFS(Transactions!$E:$E,Transactions!$I:$I,Classifications!E$49,Transactions!$H:$H,$B37))</f>
        <v>0</v>
      </c>
      <c r="G37" s="19">
        <f>ABS(SUMIFS(Transactions!$E:$E,Transactions!$I:$I,Classifications!F$49,Transactions!$H:$H,$B37))</f>
        <v>0</v>
      </c>
      <c r="H37" s="19">
        <f>ABS(SUMIFS(Transactions!$E:$E,Transactions!$I:$I,Classifications!G$49,Transactions!$H:$H,$B37))</f>
        <v>0</v>
      </c>
      <c r="I37" s="19">
        <f>ABS(SUMIFS(Transactions!$E:$E,Transactions!$I:$I,Classifications!H$49,Transactions!$H:$H,$B37))</f>
        <v>0</v>
      </c>
      <c r="J37" s="19">
        <f>ABS(SUMIFS(Transactions!$E:$E,Transactions!$I:$I,Classifications!I$49,Transactions!$H:$H,$B37))</f>
        <v>0</v>
      </c>
      <c r="K37" s="19">
        <f>ABS(SUMIFS(Transactions!$E:$E,Transactions!$I:$I,Classifications!J$49,Transactions!$H:$H,$B37))</f>
        <v>0</v>
      </c>
      <c r="L37" s="19">
        <f>ABS(SUMIFS(Transactions!$E:$E,Transactions!$I:$I,Classifications!K$49,Transactions!$H:$H,$B37))</f>
        <v>0</v>
      </c>
      <c r="M37" s="19">
        <f>ABS(SUMIFS(Transactions!$E:$E,Transactions!$I:$I,Classifications!L$49,Transactions!$H:$H,$B37))</f>
        <v>0</v>
      </c>
      <c r="N37" s="19">
        <f>ABS(SUMIFS(Transactions!$E:$E,Transactions!$I:$I,Classifications!M$49,Transactions!$H:$H,$B37))</f>
        <v>0</v>
      </c>
      <c r="O37" s="81">
        <f t="shared" si="2"/>
        <v>0</v>
      </c>
    </row>
    <row r="38" spans="2:15">
      <c r="B38" s="20" t="s">
        <v>84</v>
      </c>
      <c r="C38" s="19">
        <f>ABS(SUMIFS(Transactions!$D:$D,Transactions!$I:$I,Classifications!B$49,Transactions!$H:$H,$B38))</f>
        <v>0</v>
      </c>
      <c r="D38" s="19">
        <f>ABS(SUMIFS(Transactions!$D:$D,Transactions!$I:$I,Classifications!C$49,Transactions!$H:$H,$B38))</f>
        <v>0</v>
      </c>
      <c r="E38" s="19">
        <f>ABS(SUMIFS(Transactions!$D:$D,Transactions!$I:$I,Classifications!D$49,Transactions!$H:$H,$B38))</f>
        <v>0</v>
      </c>
      <c r="F38" s="19">
        <f>ABS(SUMIFS(Transactions!$D:$D,Transactions!$I:$I,Classifications!E$49,Transactions!$H:$H,$B38))</f>
        <v>0</v>
      </c>
      <c r="G38" s="19">
        <f>ABS(SUMIFS(Transactions!$D:$D,Transactions!$I:$I,Classifications!F$49,Transactions!$H:$H,$B38))</f>
        <v>0</v>
      </c>
      <c r="H38" s="19">
        <f>ABS(SUMIFS(Transactions!$D:$D,Transactions!$I:$I,Classifications!G$49,Transactions!$H:$H,$B38))</f>
        <v>0</v>
      </c>
      <c r="I38" s="19">
        <f>ABS(SUMIFS(Transactions!$D:$D,Transactions!$I:$I,Classifications!H$49,Transactions!$H:$H,$B38))</f>
        <v>0</v>
      </c>
      <c r="J38" s="19">
        <f>ABS(SUMIFS(Transactions!$D:$D,Transactions!$I:$I,Classifications!I$49,Transactions!$H:$H,$B38))</f>
        <v>0</v>
      </c>
      <c r="K38" s="19">
        <f>ABS(SUMIFS(Transactions!$D:$D,Transactions!$I:$I,Classifications!J$49,Transactions!$H:$H,$B38))</f>
        <v>0</v>
      </c>
      <c r="L38" s="19">
        <f>ABS(SUMIFS(Transactions!$D:$D,Transactions!$I:$I,Classifications!K$49,Transactions!$H:$H,$B38))</f>
        <v>0</v>
      </c>
      <c r="M38" s="19">
        <f>ABS(SUMIFS(Transactions!$D:$D,Transactions!$I:$I,Classifications!L$49,Transactions!$H:$H,$B38))</f>
        <v>0</v>
      </c>
      <c r="N38" s="19">
        <f>ABS(SUMIFS(Transactions!$D:$D,Transactions!$I:$I,Classifications!M$49,Transactions!$H:$H,$B38))</f>
        <v>0</v>
      </c>
      <c r="O38" s="81">
        <f t="shared" si="2"/>
        <v>0</v>
      </c>
    </row>
    <row r="39" spans="2:15">
      <c r="B39" s="20" t="s">
        <v>138</v>
      </c>
      <c r="C39" s="19">
        <f>ABS(SUMIFS(Transactions!$D:$D,Transactions!$I:$I,Classifications!B$49,Transactions!$H:$H,"*bank*"))</f>
        <v>0</v>
      </c>
      <c r="D39" s="19">
        <f>ABS(SUMIFS(Transactions!$D:$D,Transactions!$I:$I,Classifications!C$49,Transactions!$H:$H,"*bank*"))</f>
        <v>0</v>
      </c>
      <c r="E39" s="19">
        <f>ABS(SUMIFS(Transactions!$D:$D,Transactions!$I:$I,Classifications!D$49,Transactions!$H:$H,"*bank*"))</f>
        <v>0</v>
      </c>
      <c r="F39" s="19">
        <f>ABS(SUMIFS(Transactions!$D:$D,Transactions!$I:$I,Classifications!E$49,Transactions!$H:$H,"*bank*"))</f>
        <v>0</v>
      </c>
      <c r="G39" s="19">
        <f>ABS(SUMIFS(Transactions!$D:$D,Transactions!$I:$I,Classifications!F$49,Transactions!$H:$H,"*bank*"))</f>
        <v>0</v>
      </c>
      <c r="H39" s="19">
        <f>ABS(SUMIFS(Transactions!$D:$D,Transactions!$I:$I,Classifications!G$49,Transactions!$H:$H,"*bank*"))</f>
        <v>0</v>
      </c>
      <c r="I39" s="19">
        <f>ABS(SUMIFS(Transactions!$D:$D,Transactions!$I:$I,Classifications!H$49,Transactions!$H:$H,"*bank*"))</f>
        <v>0</v>
      </c>
      <c r="J39" s="19">
        <f>ABS(SUMIFS(Transactions!$D:$D,Transactions!$I:$I,Classifications!I$49,Transactions!$H:$H,"*bank*"))</f>
        <v>0</v>
      </c>
      <c r="K39" s="19">
        <f>ABS(SUMIFS(Transactions!$D:$D,Transactions!$I:$I,Classifications!J$49,Transactions!$H:$H,"*bank*"))</f>
        <v>0</v>
      </c>
      <c r="L39" s="19">
        <f>ABS(SUMIFS(Transactions!$D:$D,Transactions!$I:$I,Classifications!K$49,Transactions!$H:$H,"*bank*"))</f>
        <v>0</v>
      </c>
      <c r="M39" s="19">
        <f>ABS(SUMIFS(Transactions!$D:$D,Transactions!$I:$I,Classifications!L$49,Transactions!$H:$H,"*bank*"))</f>
        <v>0</v>
      </c>
      <c r="N39" s="19">
        <f>ABS(SUMIFS(Transactions!$D:$D,Transactions!$I:$I,Classifications!M$49,Transactions!$H:$H,"*bank*"))</f>
        <v>0</v>
      </c>
      <c r="O39" s="81">
        <f t="shared" si="2"/>
        <v>0</v>
      </c>
    </row>
    <row r="40" spans="2:15">
      <c r="B40" s="77" t="s">
        <v>77</v>
      </c>
      <c r="C40" s="78">
        <f>C35-C36-C37+C38+C39</f>
        <v>-800</v>
      </c>
      <c r="D40" s="78">
        <f t="shared" ref="D40:N40" si="5">D35-D36-D37+D38+D39</f>
        <v>0</v>
      </c>
      <c r="E40" s="78">
        <f t="shared" si="5"/>
        <v>0</v>
      </c>
      <c r="F40" s="78">
        <f t="shared" si="5"/>
        <v>0</v>
      </c>
      <c r="G40" s="78">
        <f t="shared" si="5"/>
        <v>0</v>
      </c>
      <c r="H40" s="78">
        <f t="shared" si="5"/>
        <v>0</v>
      </c>
      <c r="I40" s="78">
        <f t="shared" si="5"/>
        <v>0</v>
      </c>
      <c r="J40" s="78">
        <f t="shared" si="5"/>
        <v>0</v>
      </c>
      <c r="K40" s="78">
        <f t="shared" si="5"/>
        <v>0</v>
      </c>
      <c r="L40" s="78">
        <f t="shared" si="5"/>
        <v>0</v>
      </c>
      <c r="M40" s="78">
        <f t="shared" si="5"/>
        <v>0</v>
      </c>
      <c r="N40" s="78">
        <f t="shared" si="5"/>
        <v>0</v>
      </c>
      <c r="O40" s="16"/>
    </row>
    <row r="41" spans="2:15">
      <c r="O41" s="16"/>
    </row>
    <row r="42" spans="2:15">
      <c r="B42" s="98" t="s">
        <v>79</v>
      </c>
      <c r="C42" s="99">
        <f t="shared" ref="C42:N42" si="6">C4+C40</f>
        <v>-800</v>
      </c>
      <c r="D42" s="99">
        <f t="shared" si="6"/>
        <v>-800</v>
      </c>
      <c r="E42" s="99">
        <f t="shared" si="6"/>
        <v>-800</v>
      </c>
      <c r="F42" s="99">
        <f t="shared" si="6"/>
        <v>-800</v>
      </c>
      <c r="G42" s="99">
        <f t="shared" si="6"/>
        <v>-800</v>
      </c>
      <c r="H42" s="99">
        <f t="shared" si="6"/>
        <v>-800</v>
      </c>
      <c r="I42" s="99">
        <f t="shared" si="6"/>
        <v>-800</v>
      </c>
      <c r="J42" s="99">
        <f t="shared" si="6"/>
        <v>-800</v>
      </c>
      <c r="K42" s="99">
        <f t="shared" si="6"/>
        <v>-800</v>
      </c>
      <c r="L42" s="99">
        <f t="shared" si="6"/>
        <v>-800</v>
      </c>
      <c r="M42" s="99">
        <f t="shared" si="6"/>
        <v>-800</v>
      </c>
      <c r="N42" s="99">
        <f t="shared" si="6"/>
        <v>-800</v>
      </c>
      <c r="O42" s="16"/>
    </row>
  </sheetData>
  <mergeCells count="1">
    <mergeCell ref="A1:N2"/>
  </mergeCells>
  <pageMargins left="0.7" right="0.7" top="0.75" bottom="0.75" header="0.3" footer="0.3"/>
  <pageSetup orientation="portrait" verticalDpi="0" r:id="rId1"/>
  <ignoredErrors>
    <ignoredError sqref="C17:N17 C25:N25" 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107"/>
  <sheetViews>
    <sheetView topLeftCell="A76" workbookViewId="0">
      <selection activeCell="A34" sqref="A34"/>
    </sheetView>
  </sheetViews>
  <sheetFormatPr defaultColWidth="11" defaultRowHeight="15.75"/>
  <cols>
    <col min="1" max="1" width="45.625" customWidth="1"/>
  </cols>
  <sheetData>
    <row r="1" spans="1:1">
      <c r="A1" t="s">
        <v>9</v>
      </c>
    </row>
    <row r="2" spans="1:1">
      <c r="A2" t="s">
        <v>12</v>
      </c>
    </row>
    <row r="3" spans="1:1">
      <c r="A3" t="s">
        <v>11</v>
      </c>
    </row>
    <row r="5" spans="1:1">
      <c r="A5" t="s">
        <v>4</v>
      </c>
    </row>
    <row r="6" spans="1:1">
      <c r="A6" t="s">
        <v>17</v>
      </c>
    </row>
    <row r="7" spans="1:1">
      <c r="A7" t="s">
        <v>18</v>
      </c>
    </row>
    <row r="8" spans="1:1">
      <c r="A8" t="s">
        <v>2</v>
      </c>
    </row>
    <row r="9" spans="1:1">
      <c r="A9" t="s">
        <v>19</v>
      </c>
    </row>
    <row r="10" spans="1:1">
      <c r="A10" t="s">
        <v>20</v>
      </c>
    </row>
    <row r="11" spans="1:1">
      <c r="A11" t="s">
        <v>21</v>
      </c>
    </row>
    <row r="12" spans="1:1">
      <c r="A12" t="s">
        <v>22</v>
      </c>
    </row>
    <row r="13" spans="1:1">
      <c r="A13" s="14" t="s">
        <v>134</v>
      </c>
    </row>
    <row r="14" spans="1:1">
      <c r="A14" s="14" t="s">
        <v>135</v>
      </c>
    </row>
    <row r="15" spans="1:1">
      <c r="A15" t="s">
        <v>25</v>
      </c>
    </row>
    <row r="16" spans="1:1">
      <c r="A16" t="s">
        <v>26</v>
      </c>
    </row>
    <row r="17" spans="1:1">
      <c r="A17" t="s">
        <v>27</v>
      </c>
    </row>
    <row r="18" spans="1:1">
      <c r="A18" s="14" t="s">
        <v>136</v>
      </c>
    </row>
    <row r="19" spans="1:1">
      <c r="A19" s="14" t="s">
        <v>137</v>
      </c>
    </row>
    <row r="20" spans="1:1">
      <c r="A20" t="s">
        <v>31</v>
      </c>
    </row>
    <row r="21" spans="1:1">
      <c r="A21" t="s">
        <v>132</v>
      </c>
    </row>
    <row r="22" spans="1:1">
      <c r="A22" t="s">
        <v>7</v>
      </c>
    </row>
    <row r="23" spans="1:1">
      <c r="A23" s="14" t="s">
        <v>32</v>
      </c>
    </row>
    <row r="24" spans="1:1">
      <c r="A24" s="14" t="s">
        <v>128</v>
      </c>
    </row>
    <row r="25" spans="1:1">
      <c r="A25" t="s">
        <v>34</v>
      </c>
    </row>
    <row r="26" spans="1:1">
      <c r="A26" t="s">
        <v>133</v>
      </c>
    </row>
    <row r="27" spans="1:1">
      <c r="A27" t="s">
        <v>8</v>
      </c>
    </row>
    <row r="28" spans="1:1">
      <c r="A28" t="s">
        <v>35</v>
      </c>
    </row>
    <row r="30" spans="1:1">
      <c r="A30" t="s">
        <v>87</v>
      </c>
    </row>
    <row r="31" spans="1:1">
      <c r="A31" t="s">
        <v>86</v>
      </c>
    </row>
    <row r="32" spans="1:1">
      <c r="A32" t="s">
        <v>84</v>
      </c>
    </row>
    <row r="33" spans="1:1">
      <c r="A33" t="s">
        <v>85</v>
      </c>
    </row>
    <row r="35" spans="1:1">
      <c r="A35" t="s">
        <v>42</v>
      </c>
    </row>
    <row r="36" spans="1:1">
      <c r="A36" t="s">
        <v>88</v>
      </c>
    </row>
    <row r="37" spans="1:1">
      <c r="A37" t="s">
        <v>43</v>
      </c>
    </row>
    <row r="38" spans="1:1">
      <c r="A38" t="s">
        <v>44</v>
      </c>
    </row>
    <row r="39" spans="1:1">
      <c r="A39" t="s">
        <v>45</v>
      </c>
    </row>
    <row r="40" spans="1:1">
      <c r="A40" t="s">
        <v>88</v>
      </c>
    </row>
    <row r="41" spans="1:1">
      <c r="A41" t="s">
        <v>54</v>
      </c>
    </row>
    <row r="42" spans="1:1">
      <c r="A42" t="s">
        <v>55</v>
      </c>
    </row>
    <row r="43" spans="1:1">
      <c r="A43" t="s">
        <v>56</v>
      </c>
    </row>
    <row r="45" spans="1:1">
      <c r="A45" t="s">
        <v>58</v>
      </c>
    </row>
    <row r="47" spans="1:1">
      <c r="A47" t="s">
        <v>59</v>
      </c>
    </row>
    <row r="49" spans="1:13">
      <c r="A49">
        <v>0</v>
      </c>
      <c r="B49">
        <v>1</v>
      </c>
      <c r="C49">
        <v>2</v>
      </c>
      <c r="D49">
        <v>3</v>
      </c>
      <c r="E49">
        <v>4</v>
      </c>
      <c r="F49">
        <v>5</v>
      </c>
      <c r="G49">
        <v>6</v>
      </c>
      <c r="H49">
        <v>7</v>
      </c>
      <c r="I49">
        <v>8</v>
      </c>
      <c r="J49">
        <v>9</v>
      </c>
      <c r="K49">
        <v>10</v>
      </c>
      <c r="L49">
        <v>11</v>
      </c>
      <c r="M49">
        <v>12</v>
      </c>
    </row>
    <row r="50" spans="1:13">
      <c r="E50" s="102" t="s">
        <v>176</v>
      </c>
      <c r="F50" s="102" t="s">
        <v>175</v>
      </c>
    </row>
    <row r="51" spans="1:13">
      <c r="A51">
        <v>1</v>
      </c>
      <c r="E51" s="101">
        <v>1</v>
      </c>
      <c r="F51" t="s">
        <v>61</v>
      </c>
    </row>
    <row r="52" spans="1:13">
      <c r="A52">
        <v>2</v>
      </c>
      <c r="E52" s="101">
        <v>2</v>
      </c>
      <c r="F52" t="s">
        <v>62</v>
      </c>
    </row>
    <row r="53" spans="1:13">
      <c r="A53">
        <v>3</v>
      </c>
      <c r="E53" s="101">
        <v>3</v>
      </c>
      <c r="F53" t="s">
        <v>63</v>
      </c>
    </row>
    <row r="54" spans="1:13">
      <c r="A54">
        <v>4</v>
      </c>
      <c r="E54" s="101">
        <v>4</v>
      </c>
      <c r="F54" t="s">
        <v>64</v>
      </c>
    </row>
    <row r="55" spans="1:13">
      <c r="A55">
        <v>5</v>
      </c>
      <c r="E55" s="101">
        <v>5</v>
      </c>
      <c r="F55" t="s">
        <v>65</v>
      </c>
    </row>
    <row r="56" spans="1:13">
      <c r="A56">
        <v>6</v>
      </c>
      <c r="E56" s="101">
        <v>6</v>
      </c>
      <c r="F56" t="s">
        <v>66</v>
      </c>
    </row>
    <row r="57" spans="1:13">
      <c r="A57">
        <v>7</v>
      </c>
      <c r="E57" s="101">
        <v>7</v>
      </c>
      <c r="F57" t="s">
        <v>67</v>
      </c>
    </row>
    <row r="58" spans="1:13">
      <c r="A58">
        <v>8</v>
      </c>
      <c r="E58" s="101">
        <v>8</v>
      </c>
      <c r="F58" t="s">
        <v>68</v>
      </c>
    </row>
    <row r="59" spans="1:13">
      <c r="A59">
        <v>9</v>
      </c>
      <c r="E59" s="101">
        <v>9</v>
      </c>
      <c r="F59" t="s">
        <v>69</v>
      </c>
    </row>
    <row r="60" spans="1:13">
      <c r="A60">
        <v>10</v>
      </c>
      <c r="E60" s="101">
        <v>10</v>
      </c>
      <c r="F60" t="s">
        <v>70</v>
      </c>
    </row>
    <row r="61" spans="1:13">
      <c r="A61">
        <v>11</v>
      </c>
      <c r="E61" s="101">
        <v>11</v>
      </c>
      <c r="F61" t="s">
        <v>71</v>
      </c>
    </row>
    <row r="62" spans="1:13">
      <c r="A62">
        <v>12</v>
      </c>
      <c r="E62" s="101">
        <v>12</v>
      </c>
      <c r="F62" t="s">
        <v>72</v>
      </c>
    </row>
    <row r="63" spans="1:13">
      <c r="A63">
        <v>13</v>
      </c>
    </row>
    <row r="64" spans="1:13">
      <c r="A64">
        <v>14</v>
      </c>
    </row>
    <row r="65" spans="1:1">
      <c r="A65">
        <v>15</v>
      </c>
    </row>
    <row r="66" spans="1:1">
      <c r="A66">
        <v>16</v>
      </c>
    </row>
    <row r="67" spans="1:1">
      <c r="A67">
        <v>17</v>
      </c>
    </row>
    <row r="68" spans="1:1">
      <c r="A68">
        <v>18</v>
      </c>
    </row>
    <row r="69" spans="1:1">
      <c r="A69">
        <v>19</v>
      </c>
    </row>
    <row r="70" spans="1:1">
      <c r="A70">
        <v>20</v>
      </c>
    </row>
    <row r="71" spans="1:1">
      <c r="A71">
        <v>21</v>
      </c>
    </row>
    <row r="72" spans="1:1">
      <c r="A72">
        <v>22</v>
      </c>
    </row>
    <row r="73" spans="1:1">
      <c r="A73">
        <v>23</v>
      </c>
    </row>
    <row r="74" spans="1:1">
      <c r="A74">
        <v>24</v>
      </c>
    </row>
    <row r="75" spans="1:1">
      <c r="A75">
        <v>25</v>
      </c>
    </row>
    <row r="76" spans="1:1">
      <c r="A76">
        <v>26</v>
      </c>
    </row>
    <row r="77" spans="1:1">
      <c r="A77">
        <v>27</v>
      </c>
    </row>
    <row r="78" spans="1:1">
      <c r="A78">
        <v>28</v>
      </c>
    </row>
    <row r="79" spans="1:1">
      <c r="A79">
        <v>29</v>
      </c>
    </row>
    <row r="80" spans="1:1">
      <c r="A80">
        <v>30</v>
      </c>
    </row>
    <row r="81" spans="1:1">
      <c r="A81">
        <v>31</v>
      </c>
    </row>
    <row r="82" spans="1:1">
      <c r="A82">
        <v>32</v>
      </c>
    </row>
    <row r="83" spans="1:1">
      <c r="A83">
        <v>33</v>
      </c>
    </row>
    <row r="84" spans="1:1">
      <c r="A84">
        <v>34</v>
      </c>
    </row>
    <row r="85" spans="1:1">
      <c r="A85">
        <v>35</v>
      </c>
    </row>
    <row r="86" spans="1:1">
      <c r="A86">
        <v>36</v>
      </c>
    </row>
    <row r="87" spans="1:1">
      <c r="A87">
        <v>37</v>
      </c>
    </row>
    <row r="88" spans="1:1">
      <c r="A88">
        <v>38</v>
      </c>
    </row>
    <row r="89" spans="1:1">
      <c r="A89">
        <v>39</v>
      </c>
    </row>
    <row r="90" spans="1:1">
      <c r="A90">
        <v>40</v>
      </c>
    </row>
    <row r="91" spans="1:1">
      <c r="A91">
        <v>41</v>
      </c>
    </row>
    <row r="92" spans="1:1">
      <c r="A92">
        <v>42</v>
      </c>
    </row>
    <row r="93" spans="1:1">
      <c r="A93">
        <v>43</v>
      </c>
    </row>
    <row r="94" spans="1:1">
      <c r="A94">
        <v>44</v>
      </c>
    </row>
    <row r="95" spans="1:1">
      <c r="A95">
        <v>45</v>
      </c>
    </row>
    <row r="96" spans="1:1">
      <c r="A96">
        <v>46</v>
      </c>
    </row>
    <row r="97" spans="1:1">
      <c r="A97">
        <v>47</v>
      </c>
    </row>
    <row r="98" spans="1:1">
      <c r="A98">
        <v>48</v>
      </c>
    </row>
    <row r="99" spans="1:1">
      <c r="A99">
        <v>49</v>
      </c>
    </row>
    <row r="100" spans="1:1">
      <c r="A100">
        <v>50</v>
      </c>
    </row>
    <row r="102" spans="1:1">
      <c r="A102" t="s">
        <v>162</v>
      </c>
    </row>
    <row r="103" spans="1:1">
      <c r="A103" t="s">
        <v>163</v>
      </c>
    </row>
    <row r="104" spans="1:1">
      <c r="A104" t="s">
        <v>164</v>
      </c>
    </row>
    <row r="105" spans="1:1">
      <c r="A105" t="s">
        <v>165</v>
      </c>
    </row>
    <row r="106" spans="1:1">
      <c r="A106" t="s">
        <v>166</v>
      </c>
    </row>
    <row r="107" spans="1:1">
      <c r="A107" t="s">
        <v>167</v>
      </c>
    </row>
  </sheetData>
  <pageMargins left="0.75" right="0.75" top="1" bottom="1" header="0.5" footer="0.5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/>
    <pageSetUpPr fitToPage="1"/>
  </sheetPr>
  <dimension ref="A1:J33"/>
  <sheetViews>
    <sheetView topLeftCell="C1" zoomScale="153" zoomScaleNormal="153" zoomScalePageLayoutView="95" workbookViewId="0">
      <selection activeCell="D5" sqref="D5"/>
    </sheetView>
  </sheetViews>
  <sheetFormatPr defaultColWidth="11" defaultRowHeight="15.75"/>
  <cols>
    <col min="1" max="1" width="13.375" style="6" bestFit="1" customWidth="1"/>
    <col min="2" max="2" width="14.625" style="6" customWidth="1"/>
    <col min="3" max="3" width="10.625" style="107" customWidth="1"/>
    <col min="4" max="4" width="18.375" style="112" bestFit="1" customWidth="1"/>
    <col min="5" max="5" width="18" style="112" bestFit="1" customWidth="1"/>
    <col min="6" max="6" width="19.625" style="5" bestFit="1" customWidth="1"/>
    <col min="7" max="7" width="9.625" style="107" bestFit="1" customWidth="1"/>
    <col min="8" max="8" width="20" style="107" bestFit="1" customWidth="1"/>
    <col min="9" max="9" width="15.625" hidden="1" customWidth="1"/>
    <col min="10" max="10" width="0" hidden="1" customWidth="1"/>
  </cols>
  <sheetData>
    <row r="1" spans="1:10" ht="51" customHeight="1">
      <c r="A1" s="141"/>
      <c r="B1" s="141"/>
      <c r="C1" s="141"/>
      <c r="D1" s="141"/>
      <c r="E1" s="141"/>
      <c r="F1" s="141"/>
      <c r="G1" s="141"/>
      <c r="H1" s="141"/>
    </row>
    <row r="2" spans="1:10" ht="25.5" customHeight="1">
      <c r="A2" s="144" t="s">
        <v>139</v>
      </c>
      <c r="B2" s="144"/>
      <c r="C2" s="144"/>
      <c r="D2" s="144"/>
      <c r="E2" s="144"/>
      <c r="F2" s="144"/>
      <c r="G2" s="144"/>
      <c r="H2" s="144"/>
    </row>
    <row r="3" spans="1:10" ht="15" customHeight="1">
      <c r="A3" s="87" t="s">
        <v>168</v>
      </c>
      <c r="B3" s="87" t="s">
        <v>177</v>
      </c>
      <c r="C3" s="87" t="s">
        <v>175</v>
      </c>
      <c r="D3" s="108" t="s">
        <v>172</v>
      </c>
      <c r="E3" s="108" t="s">
        <v>173</v>
      </c>
      <c r="F3" s="87" t="s">
        <v>161</v>
      </c>
      <c r="G3" s="87" t="s">
        <v>170</v>
      </c>
      <c r="H3" s="87" t="s">
        <v>171</v>
      </c>
      <c r="I3" s="97" t="s">
        <v>178</v>
      </c>
      <c r="J3" s="97" t="s">
        <v>179</v>
      </c>
    </row>
    <row r="4" spans="1:10" ht="15" customHeight="1">
      <c r="A4" s="83"/>
      <c r="B4" s="113"/>
      <c r="C4" s="103"/>
      <c r="D4" s="109"/>
      <c r="E4" s="110"/>
      <c r="F4" s="84"/>
      <c r="G4" s="112"/>
      <c r="H4" s="104">
        <f>[Miles]*'IRS Mileage'!$B$4</f>
        <v>0</v>
      </c>
      <c r="I4" s="107">
        <f>IF([Trip Date]="",0,MONTH([Trip Date]))</f>
        <v>0</v>
      </c>
      <c r="J4" s="107" t="e">
        <f>VLOOKUP([Calculation2],Classifications!$E$50:$F$62,2,FALSE)</f>
        <v>#N/A</v>
      </c>
    </row>
    <row r="5" spans="1:10">
      <c r="A5" s="133">
        <f>SUBTOTAL(103,[Trip Date])</f>
        <v>0</v>
      </c>
      <c r="B5" s="134" t="s">
        <v>230</v>
      </c>
      <c r="C5" s="135" t="e">
        <f>SUBTOTAL(101,[Month])</f>
        <v>#DIV/0!</v>
      </c>
      <c r="D5" s="136" t="s">
        <v>231</v>
      </c>
      <c r="E5" s="136" t="s">
        <v>234</v>
      </c>
      <c r="F5" s="137" t="s">
        <v>232</v>
      </c>
      <c r="G5" s="122">
        <f>SUBTOTAL(109,[Miles])</f>
        <v>0</v>
      </c>
      <c r="H5" s="138" t="s">
        <v>233</v>
      </c>
      <c r="I5">
        <f>SUBTOTAL(109,[Calculation2])</f>
        <v>0</v>
      </c>
    </row>
    <row r="6" spans="1:10">
      <c r="D6" s="14"/>
      <c r="E6" s="100"/>
      <c r="F6"/>
    </row>
    <row r="7" spans="1:10" ht="18">
      <c r="D7" s="14"/>
      <c r="E7" s="100"/>
      <c r="F7"/>
      <c r="G7" s="13"/>
    </row>
    <row r="8" spans="1:10">
      <c r="D8" s="14"/>
      <c r="E8" s="100"/>
      <c r="F8"/>
    </row>
    <row r="9" spans="1:10">
      <c r="D9" s="14"/>
      <c r="E9" s="100"/>
      <c r="F9"/>
    </row>
    <row r="10" spans="1:10">
      <c r="D10" s="14"/>
      <c r="E10" s="100"/>
      <c r="F10"/>
    </row>
    <row r="11" spans="1:10">
      <c r="D11"/>
      <c r="E11"/>
      <c r="F11"/>
    </row>
    <row r="12" spans="1:10">
      <c r="D12"/>
      <c r="E12"/>
      <c r="F12"/>
    </row>
    <row r="13" spans="1:10">
      <c r="D13"/>
      <c r="E13"/>
      <c r="F13"/>
      <c r="G13" s="4"/>
      <c r="H13" s="4"/>
    </row>
    <row r="14" spans="1:10">
      <c r="D14"/>
      <c r="E14"/>
      <c r="F14"/>
      <c r="G14" s="9"/>
    </row>
    <row r="15" spans="1:10">
      <c r="D15"/>
      <c r="E15"/>
      <c r="F15"/>
      <c r="G15" s="9"/>
      <c r="H15" s="4"/>
    </row>
    <row r="16" spans="1:10">
      <c r="D16"/>
      <c r="E16"/>
      <c r="F16"/>
    </row>
    <row r="17" spans="4:8">
      <c r="D17"/>
      <c r="E17"/>
      <c r="F17"/>
    </row>
    <row r="18" spans="4:8">
      <c r="D18"/>
      <c r="E18"/>
      <c r="F18"/>
    </row>
    <row r="19" spans="4:8">
      <c r="D19"/>
      <c r="E19"/>
      <c r="F19"/>
      <c r="H19" s="4"/>
    </row>
    <row r="20" spans="4:8">
      <c r="D20"/>
      <c r="E20"/>
      <c r="F20"/>
      <c r="G20" s="9"/>
      <c r="H20" s="4"/>
    </row>
    <row r="21" spans="4:8">
      <c r="D21"/>
      <c r="E21"/>
      <c r="F21"/>
      <c r="H21" s="4"/>
    </row>
    <row r="22" spans="4:8">
      <c r="D22"/>
      <c r="E22"/>
      <c r="F22"/>
    </row>
    <row r="23" spans="4:8">
      <c r="D23" s="111"/>
      <c r="H23" s="2"/>
    </row>
    <row r="24" spans="4:8">
      <c r="D24" s="111"/>
      <c r="H24" s="2"/>
    </row>
    <row r="25" spans="4:8">
      <c r="D25" s="111"/>
      <c r="H25" s="2"/>
    </row>
    <row r="29" spans="4:8">
      <c r="D29" s="111"/>
      <c r="H29" s="2"/>
    </row>
    <row r="30" spans="4:8">
      <c r="D30" s="111"/>
      <c r="H30" s="2"/>
    </row>
    <row r="33" spans="4:8">
      <c r="D33" s="111"/>
      <c r="H33" s="2"/>
    </row>
  </sheetData>
  <mergeCells count="2">
    <mergeCell ref="A1:H1"/>
    <mergeCell ref="A2:H2"/>
  </mergeCells>
  <dataValidations count="1">
    <dataValidation allowBlank="1" showErrorMessage="1" sqref="F23:F1048576"/>
  </dataValidations>
  <pageMargins left="0.75" right="0.75" top="1" bottom="1" header="0.5" footer="0.5"/>
  <pageSetup orientation="portrait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Classifications!$A$102:$A$107</xm:f>
          </x14:formula1>
          <xm:sqref>F4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/>
    <pageSetUpPr fitToPage="1"/>
  </sheetPr>
  <dimension ref="A1:P33"/>
  <sheetViews>
    <sheetView zoomScale="88" zoomScaleNormal="88" zoomScalePageLayoutView="95" workbookViewId="0">
      <selection activeCell="A4" sqref="A4"/>
    </sheetView>
  </sheetViews>
  <sheetFormatPr defaultColWidth="11" defaultRowHeight="15.75"/>
  <cols>
    <col min="1" max="1" width="13.375" style="6" bestFit="1" customWidth="1"/>
    <col min="2" max="2" width="16.75" style="6" bestFit="1" customWidth="1"/>
    <col min="3" max="3" width="25.125" style="107" bestFit="1" customWidth="1"/>
    <col min="4" max="4" width="11.875" style="5" bestFit="1" customWidth="1"/>
    <col min="5" max="5" width="11.25" style="5" bestFit="1" customWidth="1"/>
    <col min="6" max="6" width="10.375" style="5" bestFit="1" customWidth="1"/>
    <col min="7" max="7" width="23.125" style="107" bestFit="1" customWidth="1"/>
    <col min="8" max="8" width="37" style="107" bestFit="1" customWidth="1"/>
    <col min="9" max="9" width="15.625" customWidth="1"/>
    <col min="10" max="10" width="9.375" bestFit="1" customWidth="1"/>
    <col min="11" max="11" width="10.5" bestFit="1" customWidth="1"/>
    <col min="12" max="12" width="11.875" bestFit="1" customWidth="1"/>
    <col min="13" max="13" width="19.125" bestFit="1" customWidth="1"/>
    <col min="14" max="14" width="23.25" bestFit="1" customWidth="1"/>
    <col min="15" max="15" width="17.75" bestFit="1" customWidth="1"/>
    <col min="16" max="16" width="17.125" customWidth="1"/>
  </cols>
  <sheetData>
    <row r="1" spans="1:16" ht="81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23.25" customHeight="1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</row>
    <row r="3" spans="1:16" ht="15" customHeight="1" thickBot="1">
      <c r="A3" s="114" t="s">
        <v>141</v>
      </c>
      <c r="B3" s="114" t="s">
        <v>144</v>
      </c>
      <c r="C3" s="114" t="s">
        <v>145</v>
      </c>
      <c r="D3" s="114" t="s">
        <v>146</v>
      </c>
      <c r="E3" s="114" t="s">
        <v>147</v>
      </c>
      <c r="F3" s="114" t="s">
        <v>148</v>
      </c>
      <c r="G3" s="114" t="s">
        <v>149</v>
      </c>
      <c r="H3" s="114" t="s">
        <v>150</v>
      </c>
      <c r="I3" s="114" t="s">
        <v>151</v>
      </c>
      <c r="J3" s="114" t="s">
        <v>152</v>
      </c>
      <c r="K3" s="115" t="s">
        <v>153</v>
      </c>
      <c r="L3" s="115" t="s">
        <v>154</v>
      </c>
      <c r="M3" s="115" t="s">
        <v>155</v>
      </c>
      <c r="N3" s="115" t="s">
        <v>156</v>
      </c>
      <c r="O3" s="115" t="s">
        <v>157</v>
      </c>
      <c r="P3" s="115" t="s">
        <v>158</v>
      </c>
    </row>
    <row r="4" spans="1:16" s="14" customFormat="1" ht="15" customHeight="1" thickTop="1">
      <c r="A4" s="116"/>
      <c r="B4" s="117"/>
      <c r="C4" s="118"/>
      <c r="D4" s="119"/>
      <c r="E4" s="120"/>
      <c r="F4" s="117"/>
      <c r="G4" s="121"/>
      <c r="H4" s="116"/>
    </row>
    <row r="5" spans="1:16">
      <c r="D5" s="105"/>
      <c r="F5" s="107"/>
    </row>
    <row r="6" spans="1:16">
      <c r="D6" s="105"/>
      <c r="F6" s="107"/>
    </row>
    <row r="7" spans="1:16" ht="18">
      <c r="F7" s="107"/>
      <c r="G7" s="13"/>
    </row>
    <row r="8" spans="1:16">
      <c r="F8" s="107"/>
    </row>
    <row r="9" spans="1:16">
      <c r="F9" s="107"/>
    </row>
    <row r="13" spans="1:16">
      <c r="D13" s="12"/>
      <c r="E13" s="12"/>
      <c r="F13" s="12"/>
      <c r="G13" s="4"/>
      <c r="H13" s="4"/>
    </row>
    <row r="14" spans="1:16">
      <c r="G14" s="9"/>
    </row>
    <row r="15" spans="1:16">
      <c r="D15" s="105"/>
      <c r="G15" s="9"/>
      <c r="H15" s="4"/>
    </row>
    <row r="19" spans="4:8">
      <c r="D19" s="106"/>
      <c r="H19" s="4"/>
    </row>
    <row r="20" spans="4:8">
      <c r="D20" s="105"/>
      <c r="G20" s="9"/>
      <c r="H20" s="4"/>
    </row>
    <row r="21" spans="4:8">
      <c r="D21" s="105"/>
      <c r="H21" s="4"/>
    </row>
    <row r="23" spans="4:8">
      <c r="D23" s="105"/>
      <c r="H23" s="2"/>
    </row>
    <row r="24" spans="4:8">
      <c r="D24" s="105"/>
      <c r="H24" s="2"/>
    </row>
    <row r="25" spans="4:8">
      <c r="D25" s="105"/>
      <c r="H25" s="2"/>
    </row>
    <row r="29" spans="4:8">
      <c r="D29" s="105"/>
      <c r="H29" s="2"/>
    </row>
    <row r="30" spans="4:8">
      <c r="D30" s="105"/>
      <c r="H30" s="2"/>
    </row>
    <row r="33" spans="4:8">
      <c r="D33" s="105"/>
      <c r="H33" s="2"/>
    </row>
  </sheetData>
  <mergeCells count="1">
    <mergeCell ref="A1:P2"/>
  </mergeCells>
  <dataValidations count="2">
    <dataValidation showErrorMessage="1" sqref="H3:H1048576"/>
    <dataValidation allowBlank="1" showErrorMessage="1" sqref="F3:F1048576"/>
  </dataValidations>
  <pageMargins left="0.75" right="0.75" top="1" bottom="1" header="0.5" footer="0.5"/>
  <pageSetup orientation="portrait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/>
  </sheetPr>
  <dimension ref="A1:O5"/>
  <sheetViews>
    <sheetView topLeftCell="H1" workbookViewId="0">
      <selection activeCell="O5" sqref="O5"/>
    </sheetView>
  </sheetViews>
  <sheetFormatPr defaultColWidth="9" defaultRowHeight="15"/>
  <cols>
    <col min="1" max="2" width="18.375" style="88" customWidth="1"/>
    <col min="3" max="3" width="16" style="88" customWidth="1"/>
    <col min="4" max="4" width="16.5" style="88" customWidth="1"/>
    <col min="5" max="5" width="16.375" style="88" customWidth="1"/>
    <col min="6" max="6" width="7.875" style="88" customWidth="1"/>
    <col min="7" max="7" width="17.125" style="88" customWidth="1"/>
    <col min="8" max="8" width="16.125" style="88" customWidth="1"/>
    <col min="9" max="9" width="16" style="88" customWidth="1"/>
    <col min="10" max="10" width="8.875" style="88" customWidth="1"/>
    <col min="11" max="11" width="11" style="88" customWidth="1"/>
    <col min="12" max="12" width="14.25" style="88" customWidth="1"/>
    <col min="13" max="13" width="18.75" style="88" customWidth="1"/>
    <col min="14" max="14" width="23.375" style="88" customWidth="1"/>
    <col min="15" max="15" width="16.75" style="88" customWidth="1"/>
    <col min="16" max="16384" width="9" style="88"/>
  </cols>
  <sheetData>
    <row r="1" spans="1:15" ht="61.5" customHeight="1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15" ht="25.5" customHeight="1">
      <c r="A2" s="145" t="s">
        <v>159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</row>
    <row r="3" spans="1:15">
      <c r="A3" s="89" t="s">
        <v>141</v>
      </c>
      <c r="B3" s="89" t="s">
        <v>144</v>
      </c>
      <c r="C3" s="89" t="s">
        <v>145</v>
      </c>
      <c r="D3" s="89" t="s">
        <v>146</v>
      </c>
      <c r="E3" s="89" t="s">
        <v>147</v>
      </c>
      <c r="F3" s="89" t="s">
        <v>148</v>
      </c>
      <c r="G3" s="89" t="s">
        <v>149</v>
      </c>
      <c r="H3" s="89" t="s">
        <v>150</v>
      </c>
      <c r="I3" s="89" t="s">
        <v>151</v>
      </c>
      <c r="J3" s="89" t="s">
        <v>152</v>
      </c>
      <c r="K3" s="89" t="s">
        <v>153</v>
      </c>
      <c r="L3" s="89" t="s">
        <v>154</v>
      </c>
      <c r="M3" s="89" t="s">
        <v>155</v>
      </c>
      <c r="N3" s="89" t="s">
        <v>156</v>
      </c>
      <c r="O3" s="89" t="s">
        <v>160</v>
      </c>
    </row>
    <row r="4" spans="1:15">
      <c r="N4" s="90"/>
    </row>
    <row r="5" spans="1:15" ht="15.75">
      <c r="A5" s="130" t="s">
        <v>235</v>
      </c>
      <c r="B5" s="130" t="s">
        <v>236</v>
      </c>
      <c r="C5" s="139" t="s">
        <v>237</v>
      </c>
      <c r="D5" s="131"/>
      <c r="E5" s="131"/>
      <c r="F5" s="131"/>
      <c r="G5" s="131"/>
      <c r="H5" s="131" t="s">
        <v>238</v>
      </c>
      <c r="I5" s="131" t="s">
        <v>239</v>
      </c>
      <c r="J5" s="131" t="s">
        <v>240</v>
      </c>
      <c r="K5" s="131">
        <v>47905</v>
      </c>
      <c r="L5" s="131" t="s">
        <v>241</v>
      </c>
      <c r="M5" s="140">
        <v>987098</v>
      </c>
      <c r="N5" s="132">
        <v>44170</v>
      </c>
      <c r="O5" s="131" t="s">
        <v>242</v>
      </c>
    </row>
  </sheetData>
  <mergeCells count="2">
    <mergeCell ref="A2:O2"/>
    <mergeCell ref="A1:O1"/>
  </mergeCells>
  <hyperlinks>
    <hyperlink ref="C5" r:id="rId1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B43"/>
  <sheetViews>
    <sheetView workbookViewId="0">
      <selection activeCell="B42" sqref="B42"/>
    </sheetView>
  </sheetViews>
  <sheetFormatPr defaultColWidth="8.875" defaultRowHeight="15.75"/>
  <cols>
    <col min="1" max="1" width="34" customWidth="1"/>
    <col min="2" max="2" width="13" customWidth="1"/>
  </cols>
  <sheetData>
    <row r="1" spans="1:2" ht="21">
      <c r="A1" s="147" t="s">
        <v>181</v>
      </c>
      <c r="B1" s="148"/>
    </row>
    <row r="2" spans="1:2" ht="17.25" thickBot="1">
      <c r="A2" s="149" t="s">
        <v>10</v>
      </c>
      <c r="B2" s="149"/>
    </row>
    <row r="3" spans="1:2" ht="16.5" thickTop="1">
      <c r="A3" t="s">
        <v>9</v>
      </c>
      <c r="B3" s="10">
        <v>6500</v>
      </c>
    </row>
    <row r="4" spans="1:2">
      <c r="A4" t="s">
        <v>12</v>
      </c>
      <c r="B4" s="10">
        <v>1200</v>
      </c>
    </row>
    <row r="5" spans="1:2" ht="16.5" thickBot="1">
      <c r="B5" s="11">
        <f>B3-B4</f>
        <v>5300</v>
      </c>
    </row>
    <row r="6" spans="1:2" ht="16.5" thickTop="1">
      <c r="A6" t="s">
        <v>11</v>
      </c>
      <c r="B6" s="10">
        <v>3500</v>
      </c>
    </row>
    <row r="7" spans="1:2" ht="16.5" thickBot="1">
      <c r="A7" s="3" t="s">
        <v>13</v>
      </c>
      <c r="B7" s="11">
        <f>B5-B6</f>
        <v>1800</v>
      </c>
    </row>
    <row r="8" spans="1:2" ht="16.5" thickTop="1">
      <c r="A8" t="s">
        <v>14</v>
      </c>
      <c r="B8" s="10">
        <v>1300</v>
      </c>
    </row>
    <row r="9" spans="1:2" ht="16.5" thickBot="1">
      <c r="A9" s="3" t="s">
        <v>15</v>
      </c>
      <c r="B9" s="11">
        <f>B7+B8</f>
        <v>3100</v>
      </c>
    </row>
    <row r="10" spans="1:2" ht="16.5" thickTop="1">
      <c r="B10" s="10"/>
    </row>
    <row r="11" spans="1:2" ht="17.25" thickBot="1">
      <c r="A11" s="149" t="s">
        <v>16</v>
      </c>
      <c r="B11" s="149"/>
    </row>
    <row r="12" spans="1:2" ht="16.5" thickTop="1">
      <c r="A12" t="s">
        <v>4</v>
      </c>
      <c r="B12" s="10">
        <v>200</v>
      </c>
    </row>
    <row r="13" spans="1:2">
      <c r="A13" t="s">
        <v>17</v>
      </c>
      <c r="B13" s="10">
        <v>210</v>
      </c>
    </row>
    <row r="14" spans="1:2">
      <c r="A14" t="s">
        <v>18</v>
      </c>
      <c r="B14" s="10">
        <v>10</v>
      </c>
    </row>
    <row r="15" spans="1:2">
      <c r="A15" t="s">
        <v>2</v>
      </c>
      <c r="B15" s="10">
        <v>120</v>
      </c>
    </row>
    <row r="16" spans="1:2">
      <c r="A16" t="s">
        <v>19</v>
      </c>
      <c r="B16" s="10">
        <v>40</v>
      </c>
    </row>
    <row r="17" spans="1:2">
      <c r="A17" t="s">
        <v>20</v>
      </c>
      <c r="B17" s="10">
        <v>370</v>
      </c>
    </row>
    <row r="18" spans="1:2">
      <c r="A18" t="s">
        <v>21</v>
      </c>
      <c r="B18" s="10">
        <v>160</v>
      </c>
    </row>
    <row r="19" spans="1:2">
      <c r="A19" t="s">
        <v>22</v>
      </c>
      <c r="B19" s="10">
        <v>155</v>
      </c>
    </row>
    <row r="20" spans="1:2">
      <c r="A20" t="s">
        <v>23</v>
      </c>
      <c r="B20" s="76"/>
    </row>
    <row r="21" spans="1:2">
      <c r="A21" s="7" t="s">
        <v>24</v>
      </c>
      <c r="B21" s="10">
        <v>200</v>
      </c>
    </row>
    <row r="22" spans="1:2">
      <c r="A22" s="7" t="s">
        <v>41</v>
      </c>
      <c r="B22" s="10">
        <v>130</v>
      </c>
    </row>
    <row r="23" spans="1:2">
      <c r="A23" t="s">
        <v>25</v>
      </c>
      <c r="B23" s="10">
        <v>120</v>
      </c>
    </row>
    <row r="24" spans="1:2">
      <c r="A24" t="s">
        <v>26</v>
      </c>
      <c r="B24" s="10">
        <v>40</v>
      </c>
    </row>
    <row r="25" spans="1:2">
      <c r="A25" t="s">
        <v>27</v>
      </c>
      <c r="B25" s="10">
        <v>90</v>
      </c>
    </row>
    <row r="26" spans="1:2">
      <c r="A26" t="s">
        <v>28</v>
      </c>
      <c r="B26" s="76"/>
    </row>
    <row r="27" spans="1:2">
      <c r="A27" s="7" t="s">
        <v>29</v>
      </c>
      <c r="B27" s="10">
        <v>160</v>
      </c>
    </row>
    <row r="28" spans="1:2">
      <c r="A28" s="7" t="s">
        <v>30</v>
      </c>
      <c r="B28" s="10">
        <v>20</v>
      </c>
    </row>
    <row r="29" spans="1:2">
      <c r="A29" t="s">
        <v>31</v>
      </c>
      <c r="B29" s="10">
        <v>300</v>
      </c>
    </row>
    <row r="30" spans="1:2">
      <c r="A30" t="s">
        <v>3</v>
      </c>
      <c r="B30" s="10">
        <v>170</v>
      </c>
    </row>
    <row r="31" spans="1:2">
      <c r="A31" t="s">
        <v>7</v>
      </c>
      <c r="B31" s="10">
        <v>100</v>
      </c>
    </row>
    <row r="32" spans="1:2">
      <c r="A32" t="s">
        <v>130</v>
      </c>
      <c r="B32" s="76"/>
    </row>
    <row r="33" spans="1:2">
      <c r="A33" s="7" t="s">
        <v>32</v>
      </c>
      <c r="B33" s="10">
        <v>20</v>
      </c>
    </row>
    <row r="34" spans="1:2">
      <c r="A34" s="7" t="s">
        <v>127</v>
      </c>
      <c r="B34" s="10">
        <v>40</v>
      </c>
    </row>
    <row r="35" spans="1:2">
      <c r="A35" t="s">
        <v>34</v>
      </c>
      <c r="B35" s="10">
        <v>100</v>
      </c>
    </row>
    <row r="36" spans="1:2">
      <c r="A36" t="s">
        <v>129</v>
      </c>
      <c r="B36" s="10">
        <v>25</v>
      </c>
    </row>
    <row r="37" spans="1:2">
      <c r="A37" t="s">
        <v>8</v>
      </c>
      <c r="B37" s="10">
        <v>55</v>
      </c>
    </row>
    <row r="38" spans="1:2">
      <c r="A38" t="s">
        <v>35</v>
      </c>
      <c r="B38" s="76"/>
    </row>
    <row r="39" spans="1:2" ht="16.5" thickBot="1">
      <c r="A39" s="3" t="s">
        <v>36</v>
      </c>
      <c r="B39" s="11">
        <f>SUM(B12:B38)</f>
        <v>2835</v>
      </c>
    </row>
    <row r="40" spans="1:2" ht="16.5" thickTop="1">
      <c r="A40" t="s">
        <v>37</v>
      </c>
      <c r="B40" s="10">
        <f>B9-B39</f>
        <v>265</v>
      </c>
    </row>
    <row r="41" spans="1:2">
      <c r="A41" t="s">
        <v>38</v>
      </c>
      <c r="B41" s="10">
        <v>105</v>
      </c>
    </row>
    <row r="42" spans="1:2" ht="16.5" thickBot="1">
      <c r="A42" s="3" t="s">
        <v>39</v>
      </c>
      <c r="B42" s="11">
        <f>B40-B41</f>
        <v>160</v>
      </c>
    </row>
    <row r="43" spans="1:2" ht="16.5" thickTop="1"/>
  </sheetData>
  <mergeCells count="3">
    <mergeCell ref="A1:B1"/>
    <mergeCell ref="A2:B2"/>
    <mergeCell ref="A11:B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/>
  </sheetPr>
  <dimension ref="A1:B13"/>
  <sheetViews>
    <sheetView workbookViewId="0">
      <selection activeCell="C5" sqref="C5"/>
    </sheetView>
  </sheetViews>
  <sheetFormatPr defaultColWidth="8.875" defaultRowHeight="15.75"/>
  <cols>
    <col min="1" max="1" width="93.625" customWidth="1"/>
    <col min="2" max="2" width="37.375" style="1" customWidth="1"/>
  </cols>
  <sheetData>
    <row r="1" spans="1:2" ht="21">
      <c r="A1" s="147">
        <f>Transactions!A1</f>
        <v>0</v>
      </c>
      <c r="B1" s="148"/>
    </row>
    <row r="2" spans="1:2" ht="17.25" thickBot="1">
      <c r="A2" s="149" t="s">
        <v>46</v>
      </c>
      <c r="B2" s="149"/>
    </row>
    <row r="3" spans="1:2" ht="16.5" thickTop="1">
      <c r="A3" s="34" t="s">
        <v>53</v>
      </c>
      <c r="B3" s="35"/>
    </row>
    <row r="4" spans="1:2">
      <c r="A4" s="34" t="s">
        <v>57</v>
      </c>
      <c r="B4" s="35"/>
    </row>
    <row r="5" spans="1:2">
      <c r="A5" s="34" t="s">
        <v>47</v>
      </c>
      <c r="B5" s="36">
        <v>37090</v>
      </c>
    </row>
    <row r="6" spans="1:2">
      <c r="A6" s="34" t="s">
        <v>48</v>
      </c>
      <c r="B6" s="36">
        <v>1200</v>
      </c>
    </row>
    <row r="7" spans="1:2">
      <c r="A7" s="34" t="s">
        <v>131</v>
      </c>
      <c r="B7" s="36">
        <v>2500</v>
      </c>
    </row>
    <row r="8" spans="1:2">
      <c r="A8" s="34" t="s">
        <v>49</v>
      </c>
      <c r="B8" s="36">
        <v>3500</v>
      </c>
    </row>
    <row r="9" spans="1:2">
      <c r="A9" s="34" t="s">
        <v>50</v>
      </c>
      <c r="B9" s="36">
        <v>4000</v>
      </c>
    </row>
    <row r="10" spans="1:2" ht="16.5" thickBot="1">
      <c r="A10" s="34" t="s">
        <v>51</v>
      </c>
      <c r="B10" s="37">
        <f>SUM(B5:B9)</f>
        <v>48290</v>
      </c>
    </row>
    <row r="11" spans="1:2" ht="16.5" thickTop="1">
      <c r="A11" s="34" t="s">
        <v>52</v>
      </c>
      <c r="B11" s="36">
        <v>25670</v>
      </c>
    </row>
    <row r="12" spans="1:2" ht="16.5" thickBot="1">
      <c r="A12" s="15" t="s">
        <v>11</v>
      </c>
      <c r="B12" s="33">
        <f>B10-B11</f>
        <v>22620</v>
      </c>
    </row>
    <row r="13" spans="1:2" ht="16.5" thickTop="1"/>
  </sheetData>
  <mergeCells count="2">
    <mergeCell ref="A1:B1"/>
    <mergeCell ref="A2:B2"/>
  </mergeCells>
  <dataValidations count="2">
    <dataValidation type="list" allowBlank="1" showInputMessage="1" sqref="B3">
      <formula1>InventoryMethod</formula1>
    </dataValidation>
    <dataValidation type="list" allowBlank="1" showInputMessage="1" sqref="B4">
      <formula1>YesNo?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/>
  </sheetPr>
  <dimension ref="A1:B6"/>
  <sheetViews>
    <sheetView workbookViewId="0">
      <selection activeCell="B6" sqref="B6"/>
    </sheetView>
  </sheetViews>
  <sheetFormatPr defaultColWidth="8.875" defaultRowHeight="15.75"/>
  <cols>
    <col min="1" max="1" width="41.875" customWidth="1"/>
    <col min="2" max="2" width="12.625" customWidth="1"/>
  </cols>
  <sheetData>
    <row r="1" spans="1:2" ht="21">
      <c r="A1" s="147">
        <f>Transactions!A1:H1</f>
        <v>0</v>
      </c>
      <c r="B1" s="148"/>
    </row>
    <row r="2" spans="1:2" ht="17.25" thickBot="1">
      <c r="A2" s="150" t="s">
        <v>80</v>
      </c>
      <c r="B2" s="150"/>
    </row>
    <row r="3" spans="1:2" ht="16.5" thickTop="1">
      <c r="A3" s="34" t="s">
        <v>82</v>
      </c>
      <c r="B3" s="1">
        <f>'Schedule C (P&amp;L)'!B42</f>
        <v>160</v>
      </c>
    </row>
    <row r="4" spans="1:2">
      <c r="A4" s="34" t="s">
        <v>83</v>
      </c>
      <c r="B4" s="1">
        <f>B3*0.9235</f>
        <v>147.76</v>
      </c>
    </row>
    <row r="5" spans="1:2" ht="16.5" thickBot="1">
      <c r="A5" s="38" t="s">
        <v>143</v>
      </c>
      <c r="B5" s="32">
        <v>24.87</v>
      </c>
    </row>
    <row r="6" spans="1:2" ht="16.5" thickTop="1">
      <c r="A6" s="85" t="s">
        <v>81</v>
      </c>
      <c r="B6" s="86">
        <f>B5*0.5</f>
        <v>12.435</v>
      </c>
    </row>
  </sheetData>
  <mergeCells count="2">
    <mergeCell ref="A1:B1"/>
    <mergeCell ref="A2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/>
  </sheetPr>
  <dimension ref="A1:C6"/>
  <sheetViews>
    <sheetView workbookViewId="0">
      <selection activeCell="B4" sqref="B4"/>
    </sheetView>
  </sheetViews>
  <sheetFormatPr defaultColWidth="8.875" defaultRowHeight="15.75"/>
  <cols>
    <col min="1" max="1" width="23.625" customWidth="1"/>
    <col min="2" max="2" width="11.125" style="1" customWidth="1"/>
    <col min="3" max="3" width="16" customWidth="1"/>
  </cols>
  <sheetData>
    <row r="1" spans="1:3" ht="21">
      <c r="A1" s="147">
        <f>Transactions!A1</f>
        <v>0</v>
      </c>
      <c r="B1" s="148"/>
    </row>
    <row r="2" spans="1:3" ht="17.25" thickBot="1">
      <c r="A2" s="149" t="s">
        <v>89</v>
      </c>
      <c r="B2" s="149"/>
    </row>
    <row r="3" spans="1:3" ht="16.5" thickTop="1">
      <c r="A3" t="s">
        <v>92</v>
      </c>
      <c r="B3" s="44" t="e">
        <f>#REF!</f>
        <v>#REF!</v>
      </c>
    </row>
    <row r="4" spans="1:3">
      <c r="A4" s="38" t="s">
        <v>91</v>
      </c>
      <c r="B4" s="42">
        <v>0.57999999999999996</v>
      </c>
      <c r="C4" s="43" t="s">
        <v>94</v>
      </c>
    </row>
    <row r="5" spans="1:3" ht="16.5" thickBot="1">
      <c r="A5" s="38" t="s">
        <v>90</v>
      </c>
      <c r="B5" s="32" t="e">
        <f>ROUND(B3*B4,0)</f>
        <v>#REF!</v>
      </c>
    </row>
    <row r="6" spans="1:3" ht="16.5" thickTop="1"/>
  </sheetData>
  <mergeCells count="2">
    <mergeCell ref="A1:B1"/>
    <mergeCell ref="A2:B2"/>
  </mergeCells>
  <hyperlinks>
    <hyperlink ref="C4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2C920734749747B2EE4B4BD47CCE72" ma:contentTypeVersion="11" ma:contentTypeDescription="Create a new document." ma:contentTypeScope="" ma:versionID="d849ef4f54b281002e4394d129e83bd3">
  <xsd:schema xmlns:xsd="http://www.w3.org/2001/XMLSchema" xmlns:xs="http://www.w3.org/2001/XMLSchema" xmlns:p="http://schemas.microsoft.com/office/2006/metadata/properties" xmlns:ns3="cbf9f2e8-d477-4433-9ac8-db3216617497" xmlns:ns4="8dd91be3-76e2-4d27-b804-a765ba408120" targetNamespace="http://schemas.microsoft.com/office/2006/metadata/properties" ma:root="true" ma:fieldsID="98da56e7d079dd354b4e8346b850c278" ns3:_="" ns4:_="">
    <xsd:import namespace="cbf9f2e8-d477-4433-9ac8-db3216617497"/>
    <xsd:import namespace="8dd91be3-76e2-4d27-b804-a765ba40812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f9f2e8-d477-4433-9ac8-db321661749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91be3-76e2-4d27-b804-a765ba4081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EAF5C5-0B4E-40A0-8DA5-B24EEE8018EE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cbf9f2e8-d477-4433-9ac8-db3216617497"/>
    <ds:schemaRef ds:uri="http://purl.org/dc/elements/1.1/"/>
    <ds:schemaRef ds:uri="http://schemas.microsoft.com/office/2006/metadata/properties"/>
    <ds:schemaRef ds:uri="http://purl.org/dc/terms/"/>
    <ds:schemaRef ds:uri="8dd91be3-76e2-4d27-b804-a765ba40812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2F2277E-66F7-457B-A610-4C03404D3D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f9f2e8-d477-4433-9ac8-db3216617497"/>
    <ds:schemaRef ds:uri="8dd91be3-76e2-4d27-b804-a765ba4081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7C91D55-4269-4C69-8B5D-14A321360CD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14</vt:i4>
      </vt:variant>
    </vt:vector>
  </HeadingPairs>
  <TitlesOfParts>
    <vt:vector size="34" baseType="lpstr">
      <vt:lpstr>Transactions</vt:lpstr>
      <vt:lpstr>Working Cash Flow</vt:lpstr>
      <vt:lpstr>Miles</vt:lpstr>
      <vt:lpstr>Customers</vt:lpstr>
      <vt:lpstr>Vendors</vt:lpstr>
      <vt:lpstr>Schedule C (P&amp;L)</vt:lpstr>
      <vt:lpstr>Cost of Goods Sold</vt:lpstr>
      <vt:lpstr>Schedule SE</vt:lpstr>
      <vt:lpstr>IRS Mileage</vt:lpstr>
      <vt:lpstr>2022 Forecast</vt:lpstr>
      <vt:lpstr>2023 Forecast</vt:lpstr>
      <vt:lpstr>Forecast Year 3</vt:lpstr>
      <vt:lpstr>Amortization Schedule</vt:lpstr>
      <vt:lpstr>Starting Inventory</vt:lpstr>
      <vt:lpstr>Insurance</vt:lpstr>
      <vt:lpstr>Licenses</vt:lpstr>
      <vt:lpstr>Capital Purchases</vt:lpstr>
      <vt:lpstr>Employees</vt:lpstr>
      <vt:lpstr>Forecasting</vt:lpstr>
      <vt:lpstr>Classifications</vt:lpstr>
      <vt:lpstr>InventoryMethod</vt:lpstr>
      <vt:lpstr>InvetoryMethod</vt:lpstr>
      <vt:lpstr>List</vt:lpstr>
      <vt:lpstr>Loan_Amount</vt:lpstr>
      <vt:lpstr>Loan_Term</vt:lpstr>
      <vt:lpstr>LoanAmount</vt:lpstr>
      <vt:lpstr>Payment</vt:lpstr>
      <vt:lpstr>Periods</vt:lpstr>
      <vt:lpstr>Rate</vt:lpstr>
      <vt:lpstr>Total_Cost</vt:lpstr>
      <vt:lpstr>Total_Interest</vt:lpstr>
      <vt:lpstr>Total_Principal</vt:lpstr>
      <vt:lpstr>YesNo</vt:lpstr>
      <vt:lpstr>YesNo?</vt:lpstr>
    </vt:vector>
  </TitlesOfParts>
  <Company>SC SBDC Aiken Area Center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 SBDC Excel</dc:title>
  <dc:subject>Cash Flow &amp; Records Workbook</dc:subject>
  <dc:creator>Brent Hoover</dc:creator>
  <dc:description>Created by Brent Hoover</dc:description>
  <cp:lastModifiedBy>Win10</cp:lastModifiedBy>
  <cp:lastPrinted>2019-06-24T19:24:02Z</cp:lastPrinted>
  <dcterms:created xsi:type="dcterms:W3CDTF">2010-04-11T15:50:05Z</dcterms:created>
  <dcterms:modified xsi:type="dcterms:W3CDTF">2021-03-11T18:34:04Z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TC100738799990</vt:lpwstr>
  </property>
  <property fmtid="{D5CDD505-2E9C-101B-9397-08002B2CF9AE}" pid="3" name="ContentTypeId">
    <vt:lpwstr>0x010100202C920734749747B2EE4B4BD47CCE72</vt:lpwstr>
  </property>
</Properties>
</file>